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2400" windowWidth="19440" windowHeight="9330" tabRatio="601"/>
  </bookViews>
  <sheets>
    <sheet name="Лист1" sheetId="1" r:id="rId1"/>
    <sheet name="Лист2" sheetId="2" r:id="rId2"/>
  </sheets>
  <definedNames>
    <definedName name="_xlnm.Print_Titles" localSheetId="0">Лист1!$A:$D,Лист1!$6:$9</definedName>
    <definedName name="_xlnm.Print_Area" localSheetId="0">Лист1!$A$1:$AD$123</definedName>
  </definedNames>
  <calcPr calcId="14562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104" i="1" l="1"/>
  <c r="K37" i="1"/>
  <c r="K40" i="1" l="1"/>
  <c r="K41" i="1"/>
  <c r="K46" i="1"/>
  <c r="P107" i="1" l="1"/>
  <c r="AD108" i="1" l="1"/>
  <c r="P52" i="1" l="1"/>
  <c r="K52" i="1"/>
  <c r="K36" i="1"/>
  <c r="K14" i="1" l="1"/>
  <c r="K13" i="1"/>
  <c r="K107" i="1" l="1"/>
  <c r="J119" i="1"/>
  <c r="J117" i="1"/>
  <c r="K119" i="1"/>
  <c r="K108" i="1"/>
  <c r="J108" i="1"/>
  <c r="K117" i="1" l="1"/>
  <c r="J100" i="1" l="1"/>
  <c r="AD100" i="1" s="1"/>
  <c r="K51" i="1" l="1"/>
  <c r="K56" i="1"/>
  <c r="N107" i="1" l="1"/>
  <c r="M107" i="1"/>
  <c r="L107" i="1"/>
  <c r="J106" i="1"/>
  <c r="AD106" i="1" s="1"/>
  <c r="J105" i="1"/>
  <c r="AD105" i="1" s="1"/>
  <c r="K61" i="1"/>
  <c r="O22" i="1"/>
  <c r="L23" i="1"/>
  <c r="K23" i="1"/>
  <c r="N23" i="1"/>
  <c r="M23" i="1"/>
  <c r="J22" i="1"/>
  <c r="AD22" i="1" l="1"/>
  <c r="P17" i="1"/>
  <c r="K17" i="1"/>
  <c r="K95" i="1" l="1"/>
  <c r="K53" i="1" l="1"/>
  <c r="R107" i="1" l="1"/>
  <c r="Q107" i="1"/>
  <c r="S107" i="1"/>
  <c r="P103" i="1" l="1"/>
  <c r="J104" i="1"/>
  <c r="AD104" i="1" s="1"/>
  <c r="J93" i="1"/>
  <c r="AD93" i="1" s="1"/>
  <c r="F39" i="1" l="1"/>
  <c r="F38" i="1"/>
  <c r="F36" i="1"/>
  <c r="P43" i="1" l="1"/>
  <c r="X107" i="1"/>
  <c r="O101" i="1" l="1"/>
  <c r="O102" i="1"/>
  <c r="O103" i="1"/>
  <c r="AD103" i="1" s="1"/>
  <c r="J103" i="1"/>
  <c r="K71" i="1" l="1"/>
  <c r="K68" i="1"/>
  <c r="O89" i="1"/>
  <c r="O90" i="1"/>
  <c r="O91" i="1"/>
  <c r="O92" i="1"/>
  <c r="J89" i="1"/>
  <c r="J90" i="1"/>
  <c r="J91" i="1"/>
  <c r="J92" i="1"/>
  <c r="Y89" i="1"/>
  <c r="Y90" i="1"/>
  <c r="Y91" i="1"/>
  <c r="Y92" i="1"/>
  <c r="T88" i="1"/>
  <c r="T89" i="1"/>
  <c r="T90" i="1"/>
  <c r="T91" i="1"/>
  <c r="T92" i="1"/>
  <c r="E92" i="1"/>
  <c r="T62" i="1"/>
  <c r="K60" i="1"/>
  <c r="P59" i="1"/>
  <c r="AD92" i="1" l="1"/>
  <c r="P61" i="1"/>
  <c r="U61" i="1"/>
  <c r="J46" i="1"/>
  <c r="K39" i="1"/>
  <c r="U39" i="1"/>
  <c r="U107" i="1" s="1"/>
  <c r="Y48" i="1" l="1"/>
  <c r="T48" i="1"/>
  <c r="O48" i="1"/>
  <c r="J48" i="1"/>
  <c r="K45" i="1"/>
  <c r="AD48" i="1" l="1"/>
  <c r="F61" i="1"/>
  <c r="F68" i="1"/>
  <c r="F87" i="1"/>
  <c r="E91" i="1"/>
  <c r="AD91" i="1" s="1"/>
  <c r="F56" i="1"/>
  <c r="F89" i="1" l="1"/>
  <c r="F37" i="1"/>
  <c r="I107" i="1" l="1"/>
  <c r="H107" i="1"/>
  <c r="G107" i="1"/>
  <c r="J98" i="1" l="1"/>
  <c r="J99" i="1"/>
  <c r="J101" i="1"/>
  <c r="J102" i="1"/>
  <c r="E102" i="1"/>
  <c r="AD102" i="1" l="1"/>
  <c r="F40" i="1"/>
  <c r="F47" i="1" l="1"/>
  <c r="F46" i="1"/>
  <c r="F32" i="1"/>
  <c r="F14" i="1"/>
  <c r="F13" i="1"/>
  <c r="E90" i="1" l="1"/>
  <c r="AD90" i="1" s="1"/>
  <c r="E89" i="1" l="1"/>
  <c r="AD89" i="1" s="1"/>
  <c r="F62" i="1"/>
  <c r="E62" i="1" s="1"/>
  <c r="O62" i="1"/>
  <c r="J62" i="1"/>
  <c r="F52" i="1"/>
  <c r="F60" i="1"/>
  <c r="F54" i="1"/>
  <c r="F53" i="1"/>
  <c r="F42" i="1"/>
  <c r="E38" i="1"/>
  <c r="AD62" i="1" l="1"/>
  <c r="F21" i="1"/>
  <c r="F15" i="1"/>
  <c r="F99" i="1" l="1"/>
  <c r="Y87" i="1" l="1"/>
  <c r="T87" i="1"/>
  <c r="O87" i="1"/>
  <c r="J87" i="1"/>
  <c r="E87" i="1"/>
  <c r="AD87" i="1" l="1"/>
  <c r="F65" i="1"/>
  <c r="F55" i="1" l="1"/>
  <c r="F88" i="1" l="1"/>
  <c r="F50" i="1" l="1"/>
  <c r="Y47" i="1" l="1"/>
  <c r="T47" i="1"/>
  <c r="O47" i="1"/>
  <c r="J47" i="1"/>
  <c r="E11" i="2" l="1"/>
  <c r="AD11" i="2" s="1"/>
  <c r="AD10" i="2"/>
  <c r="E10" i="2"/>
  <c r="AD9" i="2"/>
  <c r="E9" i="2"/>
  <c r="AD8" i="2"/>
  <c r="E47" i="1" l="1"/>
  <c r="AD47" i="1" s="1"/>
  <c r="F95" i="1" l="1"/>
  <c r="E101" i="1" l="1"/>
  <c r="AD101" i="1" l="1"/>
  <c r="F17" i="1" l="1"/>
  <c r="F94" i="1"/>
  <c r="F107" i="1" s="1"/>
  <c r="Y21" i="1"/>
  <c r="T21" i="1"/>
  <c r="O21" i="1"/>
  <c r="J21" i="1"/>
  <c r="Q23" i="1" l="1"/>
  <c r="R23" i="1"/>
  <c r="S23" i="1"/>
  <c r="V23" i="1"/>
  <c r="W23" i="1"/>
  <c r="X23" i="1"/>
  <c r="Z23" i="1"/>
  <c r="AA23" i="1"/>
  <c r="AB23" i="1"/>
  <c r="AC23" i="1"/>
  <c r="G23" i="1"/>
  <c r="H23" i="1"/>
  <c r="I23" i="1"/>
  <c r="P23" i="1"/>
  <c r="E21" i="1"/>
  <c r="AD21" i="1" s="1"/>
  <c r="F23" i="1"/>
  <c r="J97" i="1" l="1"/>
  <c r="E97" i="1"/>
  <c r="Y54" i="1" l="1"/>
  <c r="Y55" i="1"/>
  <c r="Y56" i="1"/>
  <c r="Y57" i="1"/>
  <c r="Y58" i="1"/>
  <c r="Y59" i="1"/>
  <c r="T54" i="1"/>
  <c r="T55" i="1"/>
  <c r="T56" i="1"/>
  <c r="T57" i="1"/>
  <c r="T58" i="1"/>
  <c r="T59" i="1"/>
  <c r="J112" i="1" l="1"/>
  <c r="E94" i="1" l="1"/>
  <c r="J72" i="1" l="1"/>
  <c r="E72" i="1"/>
  <c r="E73" i="1"/>
  <c r="AD73" i="1" s="1"/>
  <c r="O58" i="1"/>
  <c r="J58" i="1"/>
  <c r="E58" i="1"/>
  <c r="AD72" i="1" l="1"/>
  <c r="AD58" i="1"/>
  <c r="O56" i="1"/>
  <c r="J56" i="1"/>
  <c r="E56" i="1"/>
  <c r="O59" i="1"/>
  <c r="J59" i="1"/>
  <c r="E59" i="1"/>
  <c r="T51" i="1"/>
  <c r="O51" i="1"/>
  <c r="J51" i="1"/>
  <c r="E51" i="1"/>
  <c r="AD56" i="1" l="1"/>
  <c r="AD59" i="1"/>
  <c r="AD51" i="1"/>
  <c r="Y76" i="1" l="1"/>
  <c r="Y77" i="1"/>
  <c r="Y78" i="1"/>
  <c r="Y79" i="1"/>
  <c r="Y80" i="1"/>
  <c r="Y81" i="1"/>
  <c r="Y82" i="1"/>
  <c r="Y83" i="1"/>
  <c r="Y84" i="1"/>
  <c r="Y85" i="1"/>
  <c r="Y86" i="1"/>
  <c r="Y88" i="1"/>
  <c r="O76" i="1"/>
  <c r="O77" i="1"/>
  <c r="O78" i="1"/>
  <c r="O79" i="1"/>
  <c r="O80" i="1"/>
  <c r="O81" i="1"/>
  <c r="O82" i="1"/>
  <c r="O83" i="1"/>
  <c r="O84" i="1"/>
  <c r="O85" i="1"/>
  <c r="O86" i="1"/>
  <c r="O88" i="1"/>
  <c r="T76" i="1"/>
  <c r="T77" i="1"/>
  <c r="T78" i="1"/>
  <c r="T79" i="1"/>
  <c r="T80" i="1"/>
  <c r="T81" i="1"/>
  <c r="T82" i="1"/>
  <c r="T83" i="1"/>
  <c r="T84" i="1"/>
  <c r="T85" i="1"/>
  <c r="T86" i="1"/>
  <c r="J88" i="1"/>
  <c r="J86" i="1"/>
  <c r="J85" i="1"/>
  <c r="J84" i="1"/>
  <c r="J83" i="1"/>
  <c r="J82" i="1"/>
  <c r="J81" i="1"/>
  <c r="J80" i="1"/>
  <c r="J79" i="1"/>
  <c r="J78" i="1"/>
  <c r="J77" i="1"/>
  <c r="J76" i="1"/>
  <c r="E88" i="1"/>
  <c r="E86" i="1"/>
  <c r="E85" i="1"/>
  <c r="E84" i="1"/>
  <c r="E83" i="1"/>
  <c r="E82" i="1"/>
  <c r="E81" i="1"/>
  <c r="E80" i="1"/>
  <c r="E79" i="1"/>
  <c r="E78" i="1"/>
  <c r="E77" i="1"/>
  <c r="E76" i="1"/>
  <c r="AD81" i="1" l="1"/>
  <c r="AD79" i="1"/>
  <c r="AD78" i="1"/>
  <c r="AD77" i="1"/>
  <c r="AD76" i="1"/>
  <c r="AD88" i="1"/>
  <c r="AD86" i="1"/>
  <c r="AD85" i="1"/>
  <c r="AD84" i="1"/>
  <c r="AD83" i="1"/>
  <c r="AD82" i="1"/>
  <c r="AD80" i="1"/>
  <c r="O68" i="1"/>
  <c r="O67" i="1"/>
  <c r="O69" i="1"/>
  <c r="Y65" i="1"/>
  <c r="Y66" i="1"/>
  <c r="Y67" i="1"/>
  <c r="Y68" i="1"/>
  <c r="Y69" i="1"/>
  <c r="Y70" i="1"/>
  <c r="Y71" i="1"/>
  <c r="Y74" i="1"/>
  <c r="Y64" i="1"/>
  <c r="T65" i="1"/>
  <c r="T66" i="1"/>
  <c r="T67" i="1"/>
  <c r="T68" i="1"/>
  <c r="T69" i="1"/>
  <c r="T70" i="1"/>
  <c r="T71" i="1"/>
  <c r="T74" i="1"/>
  <c r="T64" i="1"/>
  <c r="O65" i="1"/>
  <c r="O66" i="1"/>
  <c r="O70" i="1"/>
  <c r="O71" i="1"/>
  <c r="O74" i="1"/>
  <c r="O64" i="1"/>
  <c r="J65" i="1"/>
  <c r="J66" i="1"/>
  <c r="J67" i="1"/>
  <c r="J68" i="1"/>
  <c r="J69" i="1"/>
  <c r="J70" i="1"/>
  <c r="J71" i="1"/>
  <c r="J74" i="1"/>
  <c r="J64" i="1"/>
  <c r="E65" i="1"/>
  <c r="E66" i="1"/>
  <c r="E67" i="1"/>
  <c r="E68" i="1"/>
  <c r="E69" i="1"/>
  <c r="E70" i="1"/>
  <c r="E71" i="1"/>
  <c r="E74" i="1"/>
  <c r="E64" i="1"/>
  <c r="AD64" i="1" l="1"/>
  <c r="AD65" i="1"/>
  <c r="AD70" i="1"/>
  <c r="AD74" i="1"/>
  <c r="AD71" i="1"/>
  <c r="AD68" i="1"/>
  <c r="AD69" i="1"/>
  <c r="AD67" i="1"/>
  <c r="AD66" i="1"/>
  <c r="O60" i="1" l="1"/>
  <c r="Z60" i="1"/>
  <c r="T60" i="1"/>
  <c r="O55" i="1"/>
  <c r="O54" i="1"/>
  <c r="Y52" i="1"/>
  <c r="Y53" i="1"/>
  <c r="Y61" i="1"/>
  <c r="Y50" i="1"/>
  <c r="T52" i="1"/>
  <c r="T53" i="1"/>
  <c r="T61" i="1"/>
  <c r="T50" i="1"/>
  <c r="O52" i="1"/>
  <c r="O53" i="1"/>
  <c r="O57" i="1"/>
  <c r="O61" i="1"/>
  <c r="J52" i="1"/>
  <c r="J53" i="1"/>
  <c r="J54" i="1"/>
  <c r="J55" i="1"/>
  <c r="J57" i="1"/>
  <c r="J60" i="1"/>
  <c r="J61" i="1"/>
  <c r="E52" i="1"/>
  <c r="E53" i="1"/>
  <c r="E54" i="1"/>
  <c r="E55" i="1"/>
  <c r="E57" i="1"/>
  <c r="E60" i="1"/>
  <c r="E61" i="1"/>
  <c r="E50" i="1"/>
  <c r="O50" i="1"/>
  <c r="Y60" i="1" l="1"/>
  <c r="Z107" i="1"/>
  <c r="AD57" i="1"/>
  <c r="AD61" i="1"/>
  <c r="AD60" i="1"/>
  <c r="AD55" i="1"/>
  <c r="AD54" i="1"/>
  <c r="AD53" i="1"/>
  <c r="AD52" i="1"/>
  <c r="AD50" i="1"/>
  <c r="T38" i="1"/>
  <c r="T42" i="1"/>
  <c r="T44" i="1"/>
  <c r="T46" i="1"/>
  <c r="O46" i="1"/>
  <c r="O44" i="1"/>
  <c r="O42" i="1"/>
  <c r="O40" i="1"/>
  <c r="T39" i="1"/>
  <c r="O39" i="1"/>
  <c r="O38" i="1"/>
  <c r="T37" i="1"/>
  <c r="O37" i="1"/>
  <c r="O36" i="1"/>
  <c r="Y37" i="1"/>
  <c r="Y38" i="1"/>
  <c r="Y39" i="1"/>
  <c r="Y40" i="1"/>
  <c r="Y41" i="1"/>
  <c r="Y42" i="1"/>
  <c r="Y43" i="1"/>
  <c r="Y44" i="1"/>
  <c r="Y45" i="1"/>
  <c r="Y46" i="1"/>
  <c r="Y36" i="1"/>
  <c r="T40" i="1"/>
  <c r="T41" i="1"/>
  <c r="T43" i="1"/>
  <c r="T45" i="1"/>
  <c r="T36" i="1"/>
  <c r="O41" i="1"/>
  <c r="O43" i="1"/>
  <c r="O45" i="1"/>
  <c r="J37" i="1"/>
  <c r="J38" i="1"/>
  <c r="J39" i="1"/>
  <c r="J40" i="1"/>
  <c r="J41" i="1"/>
  <c r="J42" i="1"/>
  <c r="J43" i="1"/>
  <c r="J44" i="1"/>
  <c r="J45" i="1"/>
  <c r="J36" i="1"/>
  <c r="E37" i="1"/>
  <c r="E39" i="1"/>
  <c r="E40" i="1"/>
  <c r="E41" i="1"/>
  <c r="E42" i="1"/>
  <c r="E43" i="1"/>
  <c r="E44" i="1"/>
  <c r="E45" i="1"/>
  <c r="E46" i="1"/>
  <c r="E36" i="1"/>
  <c r="J107" i="1" l="1"/>
  <c r="AD45" i="1"/>
  <c r="AD43" i="1"/>
  <c r="AD38" i="1"/>
  <c r="AD46" i="1"/>
  <c r="AD42" i="1"/>
  <c r="AD41" i="1"/>
  <c r="AD44" i="1"/>
  <c r="AD40" i="1"/>
  <c r="AD39" i="1"/>
  <c r="AD37" i="1"/>
  <c r="AD36" i="1"/>
  <c r="Y31" i="1" l="1"/>
  <c r="T31" i="1"/>
  <c r="Y15" i="1" l="1"/>
  <c r="T15" i="1"/>
  <c r="O15" i="1"/>
  <c r="J15" i="1"/>
  <c r="E15" i="1"/>
  <c r="AD15" i="1" l="1"/>
  <c r="O119" i="1"/>
  <c r="E119" i="1"/>
  <c r="E118" i="1"/>
  <c r="F116" i="1"/>
  <c r="G116" i="1"/>
  <c r="G122" i="1" s="1"/>
  <c r="H116" i="1"/>
  <c r="H122" i="1" s="1"/>
  <c r="I116" i="1"/>
  <c r="I122" i="1" s="1"/>
  <c r="K116" i="1"/>
  <c r="K122" i="1" s="1"/>
  <c r="L116" i="1"/>
  <c r="L122" i="1" s="1"/>
  <c r="M116" i="1"/>
  <c r="M122" i="1" s="1"/>
  <c r="N116" i="1"/>
  <c r="N122" i="1" s="1"/>
  <c r="P116" i="1"/>
  <c r="P122" i="1" s="1"/>
  <c r="Q116" i="1"/>
  <c r="Q122" i="1" s="1"/>
  <c r="R116" i="1"/>
  <c r="R122" i="1" s="1"/>
  <c r="S116" i="1"/>
  <c r="S122" i="1" s="1"/>
  <c r="U116" i="1"/>
  <c r="U122" i="1" s="1"/>
  <c r="V116" i="1"/>
  <c r="V122" i="1" s="1"/>
  <c r="W116" i="1"/>
  <c r="W122" i="1" s="1"/>
  <c r="X116" i="1"/>
  <c r="X122" i="1" s="1"/>
  <c r="Z116" i="1"/>
  <c r="Z122" i="1" s="1"/>
  <c r="AA116" i="1"/>
  <c r="AA122" i="1" s="1"/>
  <c r="AB116" i="1"/>
  <c r="AB122" i="1" s="1"/>
  <c r="AC116" i="1"/>
  <c r="AC122" i="1" s="1"/>
  <c r="V107" i="1"/>
  <c r="W107" i="1"/>
  <c r="AA107" i="1"/>
  <c r="AB107" i="1"/>
  <c r="AC107" i="1"/>
  <c r="X130" i="1" l="1"/>
  <c r="F122" i="1"/>
  <c r="Y96" i="1"/>
  <c r="O96" i="1"/>
  <c r="T96" i="1"/>
  <c r="J96" i="1"/>
  <c r="E96" i="1"/>
  <c r="T95" i="1"/>
  <c r="Y95" i="1"/>
  <c r="U23" i="1"/>
  <c r="AD96" i="1" l="1"/>
  <c r="J95" i="1"/>
  <c r="O95" i="1"/>
  <c r="E95" i="1"/>
  <c r="Y98" i="1"/>
  <c r="Y99" i="1"/>
  <c r="T98" i="1"/>
  <c r="T99" i="1"/>
  <c r="O98" i="1"/>
  <c r="O99" i="1"/>
  <c r="E98" i="1"/>
  <c r="E99" i="1"/>
  <c r="E107" i="1" l="1"/>
  <c r="AD95" i="1"/>
  <c r="J116" i="1"/>
  <c r="Y116" i="1"/>
  <c r="Y122" i="1" s="1"/>
  <c r="O116" i="1"/>
  <c r="O122" i="1" s="1"/>
  <c r="T116" i="1"/>
  <c r="T122" i="1" s="1"/>
  <c r="E116" i="1"/>
  <c r="E122" i="1" s="1"/>
  <c r="AD99" i="1"/>
  <c r="AD98" i="1"/>
  <c r="AD116" i="1" l="1"/>
  <c r="AE116" i="1"/>
  <c r="Z117" i="1"/>
  <c r="AA117" i="1"/>
  <c r="AB117" i="1"/>
  <c r="AC117" i="1"/>
  <c r="Y117" i="1"/>
  <c r="U117" i="1"/>
  <c r="V117" i="1"/>
  <c r="W117" i="1"/>
  <c r="X117" i="1"/>
  <c r="T117" i="1"/>
  <c r="P117" i="1"/>
  <c r="Q117" i="1"/>
  <c r="R117" i="1"/>
  <c r="S117" i="1"/>
  <c r="L117" i="1"/>
  <c r="M117" i="1"/>
  <c r="N117" i="1"/>
  <c r="F117" i="1"/>
  <c r="G117" i="1"/>
  <c r="H117" i="1"/>
  <c r="I117" i="1"/>
  <c r="J19" i="1"/>
  <c r="Y110" i="1"/>
  <c r="Y112" i="1"/>
  <c r="Y94" i="1"/>
  <c r="Y97" i="1"/>
  <c r="Y26" i="1"/>
  <c r="Y27" i="1"/>
  <c r="Y28" i="1"/>
  <c r="Y29" i="1"/>
  <c r="Y30" i="1"/>
  <c r="Y32" i="1"/>
  <c r="Y14" i="1"/>
  <c r="Y16" i="1"/>
  <c r="Y17" i="1"/>
  <c r="Y18" i="1"/>
  <c r="Y19" i="1"/>
  <c r="Y20" i="1"/>
  <c r="T112" i="1"/>
  <c r="T97" i="1"/>
  <c r="T94" i="1"/>
  <c r="T26" i="1"/>
  <c r="T27" i="1"/>
  <c r="T28" i="1"/>
  <c r="T29" i="1"/>
  <c r="T30" i="1"/>
  <c r="T32" i="1"/>
  <c r="T14" i="1"/>
  <c r="T16" i="1"/>
  <c r="T17" i="1"/>
  <c r="T18" i="1"/>
  <c r="T20" i="1"/>
  <c r="O110" i="1"/>
  <c r="O112" i="1"/>
  <c r="O94" i="1"/>
  <c r="O97" i="1"/>
  <c r="O26" i="1"/>
  <c r="O27" i="1"/>
  <c r="O28" i="1"/>
  <c r="O29" i="1"/>
  <c r="O30" i="1"/>
  <c r="O31" i="1"/>
  <c r="O32" i="1"/>
  <c r="O14" i="1"/>
  <c r="O16" i="1"/>
  <c r="O17" i="1"/>
  <c r="O18" i="1"/>
  <c r="O19" i="1"/>
  <c r="O20" i="1"/>
  <c r="E110" i="1"/>
  <c r="E111" i="1"/>
  <c r="E112" i="1"/>
  <c r="E26" i="1"/>
  <c r="E27" i="1"/>
  <c r="E28" i="1"/>
  <c r="E29" i="1"/>
  <c r="E30" i="1"/>
  <c r="E31" i="1"/>
  <c r="E32" i="1"/>
  <c r="J94" i="1"/>
  <c r="J26" i="1"/>
  <c r="J27" i="1"/>
  <c r="J28" i="1"/>
  <c r="J29" i="1"/>
  <c r="J30" i="1"/>
  <c r="J31" i="1"/>
  <c r="J32" i="1"/>
  <c r="J14" i="1"/>
  <c r="J16" i="1"/>
  <c r="J17" i="1"/>
  <c r="J18" i="1"/>
  <c r="E14" i="1"/>
  <c r="E16" i="1"/>
  <c r="E17" i="1"/>
  <c r="E18" i="1"/>
  <c r="E19" i="1"/>
  <c r="E20" i="1"/>
  <c r="Y13" i="1"/>
  <c r="T13" i="1"/>
  <c r="O13" i="1"/>
  <c r="J13" i="1"/>
  <c r="E13" i="1"/>
  <c r="O107" i="1" l="1"/>
  <c r="Y107" i="1"/>
  <c r="T107" i="1"/>
  <c r="O23" i="1"/>
  <c r="Y23" i="1"/>
  <c r="E23" i="1"/>
  <c r="AD31" i="1"/>
  <c r="AD29" i="1"/>
  <c r="AD32" i="1"/>
  <c r="AD30" i="1"/>
  <c r="K33" i="1"/>
  <c r="L33" i="1"/>
  <c r="M33" i="1"/>
  <c r="N33" i="1"/>
  <c r="P33" i="1"/>
  <c r="Q33" i="1"/>
  <c r="R33" i="1"/>
  <c r="S33" i="1"/>
  <c r="U33" i="1"/>
  <c r="V33" i="1"/>
  <c r="W33" i="1"/>
  <c r="X33" i="1"/>
  <c r="Z33" i="1"/>
  <c r="AA33" i="1"/>
  <c r="AB33" i="1"/>
  <c r="AC33" i="1"/>
  <c r="G33" i="1"/>
  <c r="H33" i="1"/>
  <c r="I33" i="1"/>
  <c r="F33" i="1"/>
  <c r="Y111" i="1" l="1"/>
  <c r="T19" i="1" l="1"/>
  <c r="T23" i="1" s="1"/>
  <c r="T111" i="1" l="1"/>
  <c r="AD19" i="1" l="1"/>
  <c r="X113" i="1" l="1"/>
  <c r="W113" i="1"/>
  <c r="V113" i="1"/>
  <c r="W114" i="1" l="1"/>
  <c r="W115" i="1" s="1"/>
  <c r="W121" i="1" s="1"/>
  <c r="W120" i="1" s="1"/>
  <c r="V114" i="1"/>
  <c r="V115" i="1" s="1"/>
  <c r="V121" i="1" s="1"/>
  <c r="V120" i="1" s="1"/>
  <c r="X114" i="1"/>
  <c r="X115" i="1" s="1"/>
  <c r="X121" i="1" s="1"/>
  <c r="X120" i="1" s="1"/>
  <c r="U113" i="1" l="1"/>
  <c r="U114" i="1" l="1"/>
  <c r="U115" i="1" s="1"/>
  <c r="U121" i="1" s="1"/>
  <c r="U120" i="1" s="1"/>
  <c r="O111" i="1" l="1"/>
  <c r="E117" i="1" l="1"/>
  <c r="O118" i="1"/>
  <c r="O117" i="1" l="1"/>
  <c r="Z113" i="1" l="1"/>
  <c r="R113" i="1"/>
  <c r="Q113" i="1"/>
  <c r="P113" i="1"/>
  <c r="G113" i="1"/>
  <c r="H113" i="1"/>
  <c r="I113" i="1"/>
  <c r="P114" i="1" l="1"/>
  <c r="P115" i="1" s="1"/>
  <c r="P121" i="1" s="1"/>
  <c r="P120" i="1" s="1"/>
  <c r="J110" i="1" l="1"/>
  <c r="J111" i="1"/>
  <c r="K113" i="1"/>
  <c r="M113" i="1"/>
  <c r="L113" i="1"/>
  <c r="X133" i="1" l="1"/>
  <c r="L114" i="1"/>
  <c r="L115" i="1" s="1"/>
  <c r="L121" i="1" s="1"/>
  <c r="L120" i="1" s="1"/>
  <c r="M114" i="1"/>
  <c r="M115" i="1" s="1"/>
  <c r="M121" i="1" s="1"/>
  <c r="M120" i="1" s="1"/>
  <c r="J20" i="1"/>
  <c r="J23" i="1" s="1"/>
  <c r="K114" i="1" l="1"/>
  <c r="K115" i="1" s="1"/>
  <c r="K121" i="1" s="1"/>
  <c r="K120" i="1" s="1"/>
  <c r="AC113" i="1" l="1"/>
  <c r="AC114" i="1" s="1"/>
  <c r="AC115" i="1" s="1"/>
  <c r="AC121" i="1" s="1"/>
  <c r="AC120" i="1" s="1"/>
  <c r="AB113" i="1"/>
  <c r="AB114" i="1" s="1"/>
  <c r="AB115" i="1" s="1"/>
  <c r="AB121" i="1" s="1"/>
  <c r="AB120" i="1" s="1"/>
  <c r="AA113" i="1"/>
  <c r="AA114" i="1" s="1"/>
  <c r="AA115" i="1" s="1"/>
  <c r="AA121" i="1" s="1"/>
  <c r="AA120" i="1" s="1"/>
  <c r="S113" i="1"/>
  <c r="O113" i="1" s="1"/>
  <c r="F113" i="1"/>
  <c r="E113" i="1" s="1"/>
  <c r="T113" i="1" l="1"/>
  <c r="AD18" i="1" l="1"/>
  <c r="H114" i="1" l="1"/>
  <c r="H115" i="1" s="1"/>
  <c r="H121" i="1" l="1"/>
  <c r="H120" i="1" s="1"/>
  <c r="AD94" i="1"/>
  <c r="AD111" i="1" l="1"/>
  <c r="AD16" i="1" l="1"/>
  <c r="Z114" i="1"/>
  <c r="Z115" i="1" s="1"/>
  <c r="Z121" i="1" s="1"/>
  <c r="Z120" i="1" s="1"/>
  <c r="AD14" i="1" l="1"/>
  <c r="AD13" i="1"/>
  <c r="F114" i="1"/>
  <c r="J25" i="1"/>
  <c r="T110" i="1"/>
  <c r="J113" i="1"/>
  <c r="E25" i="1"/>
  <c r="Y25" i="1"/>
  <c r="T25" i="1"/>
  <c r="O25" i="1"/>
  <c r="Q114" i="1"/>
  <c r="Q115" i="1" s="1"/>
  <c r="Q121" i="1" s="1"/>
  <c r="Q120" i="1" s="1"/>
  <c r="I114" i="1"/>
  <c r="I115" i="1" s="1"/>
  <c r="S114" i="1"/>
  <c r="S115" i="1" s="1"/>
  <c r="S121" i="1" s="1"/>
  <c r="S120" i="1" s="1"/>
  <c r="R114" i="1"/>
  <c r="R115" i="1" s="1"/>
  <c r="G114" i="1"/>
  <c r="G115" i="1" s="1"/>
  <c r="R121" i="1" l="1"/>
  <c r="R120" i="1" s="1"/>
  <c r="X134" i="1"/>
  <c r="I121" i="1"/>
  <c r="I120" i="1" s="1"/>
  <c r="X131" i="1"/>
  <c r="G121" i="1"/>
  <c r="G120" i="1" s="1"/>
  <c r="F115" i="1"/>
  <c r="X125" i="1"/>
  <c r="O33" i="1"/>
  <c r="T33" i="1"/>
  <c r="Y33" i="1"/>
  <c r="E33" i="1"/>
  <c r="E114" i="1" s="1"/>
  <c r="E115" i="1" s="1"/>
  <c r="E121" i="1" s="1"/>
  <c r="E120" i="1" s="1"/>
  <c r="J33" i="1"/>
  <c r="Y113" i="1"/>
  <c r="AD113" i="1" s="1"/>
  <c r="AD20" i="1"/>
  <c r="AD97" i="1"/>
  <c r="AD28" i="1"/>
  <c r="AD26" i="1"/>
  <c r="AD27" i="1"/>
  <c r="AD25" i="1"/>
  <c r="AD110" i="1"/>
  <c r="AD17" i="1"/>
  <c r="AD112" i="1"/>
  <c r="T114" i="1" l="1"/>
  <c r="T115" i="1" s="1"/>
  <c r="T121" i="1" s="1"/>
  <c r="T120" i="1" s="1"/>
  <c r="AD107" i="1"/>
  <c r="O114" i="1"/>
  <c r="O115" i="1" s="1"/>
  <c r="O121" i="1" s="1"/>
  <c r="O120" i="1" s="1"/>
  <c r="X129" i="1"/>
  <c r="F121" i="1"/>
  <c r="F120" i="1" s="1"/>
  <c r="J114" i="1"/>
  <c r="J115" i="1" s="1"/>
  <c r="AD23" i="1"/>
  <c r="Y114" i="1"/>
  <c r="Y115" i="1" s="1"/>
  <c r="Y121" i="1" s="1"/>
  <c r="Y120" i="1" s="1"/>
  <c r="AD33" i="1"/>
  <c r="AE115" i="1" l="1"/>
  <c r="AD114" i="1"/>
  <c r="AD115" i="1" s="1"/>
  <c r="N113" i="1"/>
  <c r="N114" i="1" s="1"/>
  <c r="N115" i="1" s="1"/>
  <c r="N121" i="1" l="1"/>
  <c r="N120" i="1" s="1"/>
  <c r="X135" i="1"/>
  <c r="X126" i="1"/>
  <c r="X127" i="1" l="1"/>
  <c r="X128" i="1" l="1"/>
  <c r="AD118" i="1"/>
  <c r="AD121" i="1" s="1"/>
  <c r="J122" i="1"/>
  <c r="AE122" i="1" s="1"/>
  <c r="AD119" i="1"/>
  <c r="AD122" i="1" s="1"/>
  <c r="J121" i="1"/>
  <c r="AD117" i="1"/>
  <c r="J120" i="1" l="1"/>
  <c r="AD120" i="1"/>
</calcChain>
</file>

<file path=xl/sharedStrings.xml><?xml version="1.0" encoding="utf-8"?>
<sst xmlns="http://schemas.openxmlformats.org/spreadsheetml/2006/main" count="292" uniqueCount="192">
  <si>
    <t>Сроки реализации</t>
  </si>
  <si>
    <t>Всего</t>
  </si>
  <si>
    <t>1.1.</t>
  </si>
  <si>
    <t>2.1.</t>
  </si>
  <si>
    <t>2.2.</t>
  </si>
  <si>
    <t>2.3.</t>
  </si>
  <si>
    <t>2.4.</t>
  </si>
  <si>
    <t>3.1.</t>
  </si>
  <si>
    <t>3.4.</t>
  </si>
  <si>
    <t>4.1.</t>
  </si>
  <si>
    <t>4.2.</t>
  </si>
  <si>
    <t>3.2.</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</si>
  <si>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</si>
  <si>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</si>
  <si>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</si>
  <si>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</si>
  <si>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</si>
  <si>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</si>
  <si>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1.3.</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</si>
  <si>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</si>
  <si>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</si>
  <si>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</si>
  <si>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</si>
  <si>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</si>
  <si>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Итого по задаче 4:</t>
  </si>
  <si>
    <t>3.3.</t>
  </si>
  <si>
    <t>Выполнение муниципального задания муниципальными учреждениями культуры:</t>
  </si>
  <si>
    <t>1.5.</t>
  </si>
  <si>
    <t>1.6.</t>
  </si>
  <si>
    <t>1.7.</t>
  </si>
  <si>
    <t>3.5.</t>
  </si>
  <si>
    <t>4.3.</t>
  </si>
  <si>
    <t>Реализация мероприятий муниципальными учреждениями культуры в рамках приносящей доход деятельности</t>
  </si>
  <si>
    <t>Итого по задаче 1:</t>
  </si>
  <si>
    <t xml:space="preserve">Итого по задаче 2:  </t>
  </si>
  <si>
    <t xml:space="preserve"> департамент культуры </t>
  </si>
  <si>
    <t>м.б.</t>
  </si>
  <si>
    <t>обл</t>
  </si>
  <si>
    <t>фед.</t>
  </si>
  <si>
    <t>внб</t>
  </si>
  <si>
    <t>МАУИ "ТЮЗ "Дилижанс", МБУИ "Тольяттинский театр кукол", МБУИ г.о. Тольятти "МДТ" 
(департамент культуры)</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</si>
  <si>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</si>
  <si>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Оплата ранее принятых обязательств (по муниципальной программе):</t>
  </si>
  <si>
    <t>ДК</t>
  </si>
  <si>
    <t>дгд</t>
  </si>
  <si>
    <t>обл.</t>
  </si>
  <si>
    <t>дк</t>
  </si>
  <si>
    <t xml:space="preserve">МБУК г.о. Тольятти "ДЦ "Русич", МАУ КДЦ "Буревестник", МАУ "КЦ "Автоград"                                                
(департамент культуры)  </t>
  </si>
  <si>
    <t>Проведение просветительских мероприятий с использованием форматов видео- и кинопоказов, анимационных фильмов</t>
  </si>
  <si>
    <t>оу</t>
  </si>
  <si>
    <t>мб</t>
  </si>
  <si>
    <t>1.1.1.</t>
  </si>
  <si>
    <t>1.1.2.</t>
  </si>
  <si>
    <t>по департаменту культуры</t>
  </si>
  <si>
    <t>Вовлечение волонтеров в добровольческую деятельность в сфере культуры</t>
  </si>
  <si>
    <t>План на 2024 год</t>
  </si>
  <si>
    <t>План на 2025 год</t>
  </si>
  <si>
    <t>План на 2026 год</t>
  </si>
  <si>
    <t>План на 2027 год</t>
  </si>
  <si>
    <t>План на 2028 год</t>
  </si>
  <si>
    <t>Задача 1. Развитие деятельности муниципальных учреждений в сфере культуры</t>
  </si>
  <si>
    <t>Участие в мероприятиях, способствующих развитию кадрового потенциала и обеспечению сферы культуры квалифицированным персоналом</t>
  </si>
  <si>
    <t>2024-2028</t>
  </si>
  <si>
    <t>1.2.</t>
  </si>
  <si>
    <t>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t>
  </si>
  <si>
    <t>2.5.</t>
  </si>
  <si>
    <t>2.6.</t>
  </si>
  <si>
    <t>2.7.</t>
  </si>
  <si>
    <t>2.8.</t>
  </si>
  <si>
    <t>Развитие общегородской технологической коммуникативной площадки "Единый маркетинговый центр", с использованием средств электронного маркетинга</t>
  </si>
  <si>
    <t>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t>
  </si>
  <si>
    <t>Задача 3. Развитие инфраструктуры в сфере культуры в городском округе Тольятти</t>
  </si>
  <si>
    <t>Задача 4. Внедрение цифровых технологий в  сфере культуры</t>
  </si>
  <si>
    <t>Трансляции культурных событий сферы культура</t>
  </si>
  <si>
    <t xml:space="preserve">Размещение актуальной информации на портале «Культура.рф», сайтах учреждений </t>
  </si>
  <si>
    <t>3.6.</t>
  </si>
  <si>
    <t>3.7.</t>
  </si>
  <si>
    <t>3.8.</t>
  </si>
  <si>
    <t>по департаменту градостроительной деятельности</t>
  </si>
  <si>
    <t>Поддержка новых театральных постановок</t>
  </si>
  <si>
    <t>2024-2025</t>
  </si>
  <si>
    <t xml:space="preserve">Проектирование и создание стационарных музейных экспозиций и передвижных выставок </t>
  </si>
  <si>
    <t>2024-2026</t>
  </si>
  <si>
    <t>3.9.</t>
  </si>
  <si>
    <t>ф.б</t>
  </si>
  <si>
    <t>внеббюджет</t>
  </si>
  <si>
    <t>Обеспечение оплаты обучения в образовательных учреждениях высшего образования</t>
  </si>
  <si>
    <t xml:space="preserve">департамент культуры </t>
  </si>
  <si>
    <t xml:space="preserve">Приложение № 1 к муниципальной  программе  "Культура Тольятти на 2024-2028 годы" </t>
  </si>
  <si>
    <t>Приобретение рекламно-имиджевой, представительской и сувенирной продукции</t>
  </si>
  <si>
    <t xml:space="preserve">Повышение открытости информации о деятельности  муниципальных учреждений культуры </t>
  </si>
  <si>
    <t xml:space="preserve">департамент градостроительной деятельности </t>
  </si>
  <si>
    <t xml:space="preserve">Совершенствование информационной системы продажи билетов на мероприятия через сеть интернет </t>
  </si>
  <si>
    <t xml:space="preserve">Проведение фестивальных мероприятий учреждениями культуры
 </t>
  </si>
  <si>
    <t>Задача 2. Повышение вовлеченности граждан городского округа Тольятти в деятельность в сфере культуры, создание условий для развития творческого потенциала, воспитание на основе духовных и нравственных культурных ценностей народов Российской Федерации</t>
  </si>
  <si>
    <t xml:space="preserve">
департамент культуры</t>
  </si>
  <si>
    <t>МБУ ДО Детская Школа искусств Центрального района</t>
  </si>
  <si>
    <t>МБУ ДО Детская Школа искусств  № 1</t>
  </si>
  <si>
    <t>МБУ ДО ДДК</t>
  </si>
  <si>
    <t>МБУ ДО ЦРТДЮ "Истоки"</t>
  </si>
  <si>
    <t>МБУ ДО ДХШ им. М.М. Плисецкой</t>
  </si>
  <si>
    <t>МБУ ДО ДШИ "Форте"</t>
  </si>
  <si>
    <t>МБУ ДО ДХШ № 3</t>
  </si>
  <si>
    <t>МБУ ДО ДШИ "Лицей искусств" им. В.Н. Сафонова</t>
  </si>
  <si>
    <t>МБУ ДО ДМШ № 4 им. В.М. Свердлова</t>
  </si>
  <si>
    <t xml:space="preserve"> МБУ ДО ДШИ "Камертон"</t>
  </si>
  <si>
    <t>МБУ ДО ДШИ им. Г.В. Свиридова</t>
  </si>
  <si>
    <t xml:space="preserve">Проведение ремонта, выполнение мероприятий по обеспечению эксплуатационных требований согласно нормам безопасности на объектах дополнительного образования, в том числе разработка проектно-сметной документации: </t>
  </si>
  <si>
    <t>МБУИ г.о. Тольятти "МДТ"</t>
  </si>
  <si>
    <t>МБУК г.о. Тольятти "ДЦ "Русич"</t>
  </si>
  <si>
    <t>МБУИ "Тольяттинский театр кукол"</t>
  </si>
  <si>
    <t>МБУК ТКМ</t>
  </si>
  <si>
    <t>МБУК ТХМ</t>
  </si>
  <si>
    <t>МБУК ГМК "Наследие"</t>
  </si>
  <si>
    <t>МАУ "КЦ "Автоград"</t>
  </si>
  <si>
    <t>МАУИ "ТЮЗ "Дилижанс"</t>
  </si>
  <si>
    <t>МАУ КДЦ "Буревестник"</t>
  </si>
  <si>
    <t>МБУК ОДБ</t>
  </si>
  <si>
    <t>МБУК "Библиотеки Тольятти"</t>
  </si>
  <si>
    <t>МБУ ДО ДШИ "Гармония"</t>
  </si>
  <si>
    <t>Выполнение мероприятий по обеспечению доступности для маломобильных групп населения и инвалидов на объектах культуры и дополнительного образования, в том числе разработка проектно-сметной документации:</t>
  </si>
  <si>
    <t>МБУ ДО ДМШ № 3</t>
  </si>
  <si>
    <t>ДО ЦРТДЮ "Истоки"</t>
  </si>
  <si>
    <t>Укрепление материально-технической базы в муниципальных учреждениях, находящихся в ведомственном подчинении департамента культуры:</t>
  </si>
  <si>
    <t xml:space="preserve"> МБУК ГМК "Наследие"</t>
  </si>
  <si>
    <t>1.4.</t>
  </si>
  <si>
    <t>2027, 2028</t>
  </si>
  <si>
    <t>1.8.</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</si>
  <si>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</si>
  <si>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МБУ ДО ДШИ "Гармония", МБУ ДО ДШИ "Лицей искусств" им. В.Н. Сафонова, МБУ ДО ЦРТДЮ "Истоки",  МБУК ОДБ, МБУК "Библиотеки Тольятти", МАУИ "ТЮЗ "Дилижанс",  МАУ КДЦ "Буревестник", МБУИ г.о. Тольятти "МДТ", МБУИ "Тольяттинский театр кукол", МБУ ДО ДХШ им. М.М. Плисецкой, МБУК ТКМ
(департамент культуры)
</t>
  </si>
  <si>
    <t>3.10.</t>
  </si>
  <si>
    <t>МБУ ДО ДМШ №3</t>
  </si>
  <si>
    <t>3.11.</t>
  </si>
  <si>
    <t>Обновление и внедрение информационной системы автоматизации деятельности музеев КАМИС 5:</t>
  </si>
  <si>
    <t xml:space="preserve">МБУК ТКМ </t>
  </si>
  <si>
    <t xml:space="preserve">Реализация мероприятий по оснащению образовательных учреждений в сфере культуры музыкальными инструментами, оборудованием и учебными материалами (Национальный проект «Культура», федеральный проект «Культурная среда», государственная программа "Развитие культуры в Самарской области")
</t>
  </si>
  <si>
    <t>Реализация мероприятий по модернизации библиотек в части комплектования книжных фондов (государственная программа "Развитие культуры в Самарской области")</t>
  </si>
  <si>
    <t>Создание модельных  муниципальных библиотек (Национальный проект «Культура», федеральный проект «Культурная среда», государственная программа "Развитие культуры в Самарской области")</t>
  </si>
  <si>
    <t xml:space="preserve">Поддержка творческой деятельности и техническое оснащение муниципальных детских и кукольных театров
(государственная программа "Развитие культуры в Самарской области")
</t>
  </si>
  <si>
    <t xml:space="preserve">Проведение ремонта, выполнение мероприятий по обеспечению эксплуатационных требований согласно нормам безопасности на объектах культуры, в том числе разработка проектно-сметной и (или) научно-проектной документации : </t>
  </si>
  <si>
    <t xml:space="preserve">Реализация мероприятий по модернизации библиотек в части комплектования книжных фондов, в том числе электронная подписка полнотекстовых электронных документов "ЛитРес". </t>
  </si>
  <si>
    <t>МАУК ПКИТ им. К.Г. Сахарова</t>
  </si>
  <si>
    <t>Приобретение, изготовление и монтаж украшений для оформления учреждений культуры и дополнительного образования к праздничным мероприятиям.</t>
  </si>
  <si>
    <t>МБУ ДО ДХШ им. И.Е. Репина</t>
  </si>
  <si>
    <t>МБУ ДО ДШИ "Камертон"</t>
  </si>
  <si>
    <t>2025-2026</t>
  </si>
  <si>
    <t xml:space="preserve">Модернизация муниципальных театров 
(Национальный проект "Семья", федеральный проект «Семейные ценности и инфраструктура культуры» региональный проект «Семейные ценности и инфраструктура культуры (Самарская область)» государственная программа Самарской области «Развитие культуры в Самарской области»).
</t>
  </si>
  <si>
    <t>1.9.</t>
  </si>
  <si>
    <t>Предоставление государственной поддержки театрам Самарской области на создание новых постановок
 (государственная программа "Развитие культуры в Самарской области")</t>
  </si>
  <si>
    <t>3.12.</t>
  </si>
  <si>
    <t>3.13.</t>
  </si>
  <si>
    <t>3.14.</t>
  </si>
  <si>
    <t>3.15.</t>
  </si>
  <si>
    <t xml:space="preserve">МБУК ТКМ
(департамент культуры)
</t>
  </si>
  <si>
    <t>Создание модельной муниципальной библиотеки
 (Национальный проект "Семья", федеральный проект «Семейные ценности и инфраструктура культуры» региональный проект «Семейные ценности и инфраструктура культуры (Самарская область)» государственная программа Самарской области «Развитие культуры в Самарской области»)</t>
  </si>
  <si>
    <t xml:space="preserve">Техническое оснащение муниципальных музеев 
(Национальный проект "Семья", федеральный проект «Семейные ценности и инфраструктура культуры» региональный проект «Семейные ценности и инфраструктура культуры (Самарская область)» государственная программа Самарской области «Развитие культуры в Самарской области») </t>
  </si>
  <si>
    <t>Модернизация (капитальный ремонт) муниципальных детских школ искусств по видам искусств
 (Национальный проект "Семья", федеральный проект «Семейные ценности и инфраструктура культуры» региональный проект «Семейные ценности и инфраструктура культуры (Самарская область)» государственная программа Самарской области «Развитие культуры в Самарской области»)</t>
  </si>
  <si>
    <t xml:space="preserve"> МБУК ОДБ
 (департамент культуры)</t>
  </si>
  <si>
    <t>2025-2028</t>
  </si>
  <si>
    <t>МБУ ДО Детская Школа искусств Центрального района, МБУ ДО Детская Школа искусств  № 1, МБУ ДО ДДК,  МБУ ДО ЦРТДЮ "Истоки", МБУ ДО ДХШ им. М.М. Плисецкой, МБУ ДО ДШИ "Форте", МБУ ДО ДХШ № 3, МБУ ДО ДШИ "Лицей искусств" им. В.Н. Сафонова,   МБУ ДО ДМШ № 4 им. В.М. Свердлова, МБУ ДО ДШИ "Камертон", МБУ ДО ДШИ им. Г.В. Свиридова, 
МБУ ДО ДМШ №3, МБУ ДО ДХШ им. И.Е. Репина 
(департамент культуры)</t>
  </si>
  <si>
    <t xml:space="preserve">           ПЕРЕЧЕНЬ
 мероприятий муниципальной программы</t>
  </si>
  <si>
    <t>Приложение                                                                                                                                                                                                                                                                                                         к постановлению администрации городского округа Тольятти                                                                                                                                                                                                                                                                             от ______________№_________________</t>
  </si>
  <si>
    <t>Итого по задаче 3 без учета оплаты ранее принятых обязательств:</t>
  </si>
  <si>
    <t>Оплата ранее принятых обязательств по задаче 3:</t>
  </si>
  <si>
    <t xml:space="preserve">Оплата ранее принятых в 2023 гду обязательств </t>
  </si>
  <si>
    <t>ИТОГО по муниципальной программе без учета оплаты ранее принятых обязательств, в том числе:</t>
  </si>
  <si>
    <t>ИТОГО по муниципальной программе с учетом оплаты ранее принятых обязательств:</t>
  </si>
  <si>
    <t>Цель: Сохранение и развитие культуры и искусства на территории городского округа Тольятти, создание условий для формирования гармонично развитой личности, разделяющей традиционные российские духовно-нравственные ценности</t>
  </si>
  <si>
    <t xml:space="preserve">МАУ городского округа Тольятти "ДТ "Колесо" 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им. В.Н. Сафонова,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(департамент культуры)           </t>
  </si>
  <si>
    <t xml:space="preserve">МАУ городского округа Тольятти "ДТ "Колесо" имени Г.Б. Дроздова",  
(департамент культуры)    </t>
  </si>
  <si>
    <t xml:space="preserve">МАУИ "ТЮЗ "Дилижанс" 
(департамент культуры) </t>
  </si>
  <si>
    <t>МБУК ТКМ
 (департамент культуры)</t>
  </si>
  <si>
    <t xml:space="preserve">
МБУ ДО ДШИ "Гармония"
(департамент культуры)</t>
  </si>
  <si>
    <t xml:space="preserve">МАУ городского округа Тольятти "ДТ "Колесо" имени Г.Б. Дроздова",  
(департамент культуры) </t>
  </si>
  <si>
    <t>МАУ КДЦ "Буревестник",  МБУК "Библиотеки Тольятти", МБУК ОДБ
 (департамент культуры)</t>
  </si>
  <si>
    <t xml:space="preserve">
МБУК "ОДБ" 
(департамент культуры)</t>
  </si>
  <si>
    <t xml:space="preserve">
МАУ КДЦ "Буревестник"
 (департамент культуры)</t>
  </si>
  <si>
    <t xml:space="preserve">МАУ "КЦ "Автоград"  
(департамент культуры) </t>
  </si>
  <si>
    <t xml:space="preserve">МАУ городского округа Тольятти "ДТ "Колесо" 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им. В.Н. Сафонова,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(департамент культуры)        </t>
  </si>
  <si>
    <r>
      <t>МБУИ г.о. Тольятти "МДТ", МБУК г.о. Тольятти "ДЦ "Русич", МБУИ "Тольяттинский театр кукол", МБУК ТКМ, МБУК ТХМ,  МБУК ГМК "Наследие",  МАУ "КЦ "Автоград", МАУИ "ТЮЗ "Дилижанс",  МАУ городского округа Тольятти "ДТ "Колесо" имени Г.Б. Дроздова", МАУ КДЦ "Буревестник", МБУК ОДБ, МБУК "Библиотеки Тольятти",</t>
    </r>
    <r>
      <rPr>
        <b/>
        <sz val="12"/>
        <rFont val="Times New Roman"/>
        <family val="1"/>
        <charset val="204"/>
      </rPr>
      <t xml:space="preserve"> </t>
    </r>
    <r>
      <rPr>
        <sz val="12"/>
        <rFont val="Times New Roman"/>
        <family val="1"/>
        <charset val="204"/>
      </rPr>
      <t xml:space="preserve">МАУК ПКИТ им. К.Г. Сахарова
(департамент культуры) </t>
    </r>
  </si>
  <si>
    <t>МБУ ДО ДМШ № 4 им. В.М. Свердлова
(департамент культуры)</t>
  </si>
  <si>
    <t xml:space="preserve"> МБУК ОДБ, МБУК "Библиотеки Тольятти"
(департамент культуры)</t>
  </si>
  <si>
    <t xml:space="preserve"> МБУК ОДБ, МБУК "Библиотеки Тольятти", МАУ "КЦ "Автоград"
(департамент культуры)</t>
  </si>
  <si>
    <t>Реконструкция здания МАУИ «ТЮЗ «Дилижанс» со строительством пристроя по адресу: Тольятти, ул. Степана Разина, д. 93</t>
  </si>
  <si>
    <t>МАУ городского округа Тольятти "ДТ "Колесо" имени Г.Б. Дроздова",  МАУИ "ТЮЗ "Дилижанс",  МБУИ г.о. Тольятти "МДТ",   МБУИ "Тольяттинский театр кукол",   МБУК г.о. Тольятти "ДЦ "Русич",   МАУ "КЦ "Автоград",   МБУ ДО ЦРТДЮ "Истоки",   МБУ ДО ДМШ № 4 им. В.М. Свердлова, МБУК ОДБ, 
МАУ КДЦ "Буревестник"
(департамент культуры)</t>
  </si>
  <si>
    <t>МАУ городского округа Тольятти "ДТ "Колесо" имени Г.Б. Дроздова"</t>
  </si>
  <si>
    <t xml:space="preserve">МБУК "Библиотеки Тольятти", МБУК ОДБ
(департамент культуры)      </t>
  </si>
  <si>
    <t xml:space="preserve">
МАУ городского округа Тольятти "ДТ "Колесо" 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(департамент культуры)  </t>
  </si>
  <si>
    <t xml:space="preserve">МАУ городского округа Тольятти "ДТ "Колесо" 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(департамент культуры)  </t>
  </si>
  <si>
    <t xml:space="preserve"> МБУ ДО ДМШ № 3, МБУ ДО ДХШ им. М.М. Плисецкой, МБУ ДО ДШИ им. Г.В. Свиридова, МБУ ДО ДШИ "Гармония", МБУ ДО ДШИ "Лицей искусств" им. В.Н. Сафонова, МБУ ДО Детская Школа искусств  № 1, МБУ ДО ЦРТДЮ "Истоки", МБУ ДО ДШИ "Форте", МБУК ТКМ,  МБУК ГМК "Наследие", МБУК ОДБ, МБУК "Библиотеки Тольятти", МБУ ДО ДДК, МАУ КДЦ "Буревестник", МБУК г.о. Тольятти "ДЦ "Русич", МАУ "КЦ "Автоград", МБУ ДО ДШИ "Камертон", МАУ городского округа Тольятти "ДТ "Колесо" имени Г.Б. Дроздова"
(департамент культуры)</t>
  </si>
  <si>
    <t>Проектно-изыскательские работы по объекту «Административно-выставочный корпус, расположенный на территории МАУК «Парковый комплекс истории техники имени К.Г. Сахарова» по адресу г. Тольятти, Южное шоссе, д. 137</t>
  </si>
  <si>
    <t>МБУК ТКМ, МБУК ТХМ,  МБУК ГМК "Наследие", МАУК ПКИТ им. К.Г. Сахарова, 
 МБУК ОДБ, МБУК "Библиотеки Тольятти", МБУК г.о. Тольятти "ДЦ "Русич", МАУ КДЦ "Буревестник", МАУ "КЦ "Автоград", МАУ городского округа Тольятти "ДТ "Колесо" имени Г.Б. Дроздова", МБУИ г.о. Тольятти "МДТ",  МБУИ "Тольяттинский театр кукол",  МАУИ "ТЮЗ "Дилижанс"</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</si>
</sst>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6"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b/>
      <sz val="11"/>
      <color rgb="FFFF0000"/>
      <name val="Calibri"/>
      <family val="2"/>
      <charset val="204"/>
      <scheme val="minor"/>
    </font>
    <font>
      <sz val="14"/>
      <name val="Times New Roman"/>
      <family val="1"/>
      <charset val="204"/>
    </font>
    <font>
      <sz val="16"/>
      <name val="Times New Roman"/>
      <family val="1"/>
      <charset val="204"/>
    </font>
    <font>
      <sz val="12"/>
      <name val="Calibri"/>
      <family val="2"/>
      <charset val="204"/>
      <scheme val="minor"/>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8">
    <xf numFmtId="0" fontId="0" fillId="0" borderId="0" xfId="0"/>
    <xf numFmtId="0" fontId="8" fillId="0" borderId="0" xfId="0" applyFont="1"/>
    <xf numFmtId="0" fontId="2" fillId="0" borderId="0" xfId="0" applyFont="1"/>
    <xf numFmtId="0" fontId="12" fillId="0" borderId="0" xfId="0" applyFont="1"/>
    <xf numFmtId="0" fontId="12" fillId="0" borderId="0" xfId="0" applyFont="1" applyFill="1"/>
    <xf numFmtId="0" fontId="0" fillId="0" borderId="0" xfId="0" applyFill="1"/>
    <xf numFmtId="0" fontId="8" fillId="0" borderId="0" xfId="0" applyFont="1" applyFill="1"/>
    <xf numFmtId="0" fontId="7" fillId="0" borderId="0" xfId="0" applyFont="1" applyFill="1"/>
    <xf numFmtId="0" fontId="2" fillId="0" borderId="0" xfId="0" applyFont="1" applyFill="1"/>
    <xf numFmtId="4" fontId="8" fillId="0" borderId="0" xfId="0" applyNumberFormat="1" applyFont="1" applyFill="1"/>
    <xf numFmtId="0" fontId="8" fillId="0" borderId="0" xfId="0" applyFont="1" applyFill="1"/>
    <xf numFmtId="0" fontId="8" fillId="0" borderId="0" xfId="0" applyFont="1" applyFill="1"/>
    <xf numFmtId="4" fontId="1" fillId="3" borderId="1" xfId="0" applyNumberFormat="1" applyFont="1" applyFill="1" applyBorder="1" applyAlignment="1">
      <alignment horizontal="right"/>
    </xf>
    <xf numFmtId="0" fontId="9" fillId="2" borderId="0" xfId="0" applyFont="1" applyFill="1"/>
    <xf numFmtId="4" fontId="9" fillId="2" borderId="0" xfId="0" applyNumberFormat="1" applyFont="1" applyFill="1"/>
    <xf numFmtId="0" fontId="10" fillId="2" borderId="0" xfId="0" applyFont="1" applyFill="1"/>
    <xf numFmtId="4" fontId="0" fillId="2" borderId="0" xfId="0" applyNumberFormat="1" applyFill="1"/>
    <xf numFmtId="0" fontId="0" fillId="2" borderId="0" xfId="0" applyFill="1"/>
    <xf numFmtId="0" fontId="4" fillId="0" borderId="0" xfId="0" applyFont="1" applyFill="1"/>
    <xf numFmtId="4" fontId="8" fillId="0" borderId="0" xfId="0" applyNumberFormat="1" applyFont="1" applyFill="1" applyAlignment="1">
      <alignment horizontal="right"/>
    </xf>
    <xf numFmtId="4" fontId="6" fillId="0" borderId="0" xfId="0" applyNumberFormat="1" applyFont="1" applyFill="1" applyBorder="1" applyAlignment="1">
      <alignment horizontal="right" wrapText="1"/>
    </xf>
    <xf numFmtId="0" fontId="8" fillId="0" borderId="0" xfId="0" applyFont="1" applyFill="1"/>
    <xf numFmtId="0" fontId="8" fillId="0" borderId="0" xfId="0" applyFont="1" applyFill="1"/>
    <xf numFmtId="4" fontId="1" fillId="0" borderId="1" xfId="0" applyNumberFormat="1" applyFont="1" applyFill="1" applyBorder="1" applyAlignment="1">
      <alignment horizontal="right"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textRotation="90" wrapText="1"/>
    </xf>
    <xf numFmtId="4" fontId="1" fillId="0" borderId="1" xfId="0" applyNumberFormat="1" applyFont="1" applyFill="1" applyBorder="1" applyAlignment="1">
      <alignment horizontal="right"/>
    </xf>
    <xf numFmtId="4" fontId="1" fillId="2" borderId="1" xfId="0" applyNumberFormat="1" applyFont="1" applyFill="1" applyBorder="1" applyAlignment="1">
      <alignment horizontal="right" wrapText="1"/>
    </xf>
    <xf numFmtId="4" fontId="1" fillId="2" borderId="1" xfId="0" applyNumberFormat="1" applyFont="1" applyFill="1" applyBorder="1" applyAlignment="1">
      <alignment horizontal="right"/>
    </xf>
    <xf numFmtId="0" fontId="8" fillId="0" borderId="0" xfId="0" applyFont="1" applyFill="1"/>
    <xf numFmtId="0" fontId="2" fillId="2" borderId="0" xfId="0" applyFont="1" applyFill="1"/>
    <xf numFmtId="0" fontId="1" fillId="0" borderId="1" xfId="0" applyFont="1" applyFill="1" applyBorder="1" applyAlignment="1">
      <alignment vertical="center" wrapText="1"/>
    </xf>
    <xf numFmtId="0" fontId="1" fillId="0" borderId="0" xfId="0" applyFont="1" applyFill="1" applyBorder="1" applyAlignment="1">
      <alignment vertical="center" wrapText="1"/>
    </xf>
    <xf numFmtId="0" fontId="1" fillId="0" borderId="1" xfId="0" applyFont="1" applyFill="1" applyBorder="1" applyAlignment="1">
      <alignment vertical="top" wrapText="1"/>
    </xf>
    <xf numFmtId="0" fontId="11" fillId="2" borderId="1" xfId="0" applyFont="1" applyFill="1" applyBorder="1" applyAlignment="1">
      <alignmen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center" vertical="center" textRotation="90" wrapText="1"/>
    </xf>
    <xf numFmtId="0" fontId="11" fillId="2" borderId="1" xfId="0" applyFont="1" applyFill="1" applyBorder="1" applyAlignment="1">
      <alignment horizontal="left" vertical="center" wrapText="1"/>
    </xf>
    <xf numFmtId="4" fontId="6" fillId="0" borderId="1" xfId="0" applyNumberFormat="1" applyFont="1" applyFill="1" applyBorder="1" applyAlignment="1">
      <alignment horizontal="right" wrapText="1"/>
    </xf>
    <xf numFmtId="0" fontId="4" fillId="0" borderId="1" xfId="0" applyFont="1" applyFill="1" applyBorder="1" applyAlignment="1">
      <alignment horizontal="center" vertical="center" textRotation="90" wrapText="1"/>
    </xf>
    <xf numFmtId="16" fontId="6"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wrapText="1"/>
    </xf>
    <xf numFmtId="0" fontId="2" fillId="4" borderId="0" xfId="0" applyFont="1" applyFill="1"/>
    <xf numFmtId="4" fontId="6" fillId="0" borderId="1" xfId="0" applyNumberFormat="1" applyFont="1" applyFill="1" applyBorder="1" applyAlignment="1">
      <alignment horizontal="right"/>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top" wrapText="1"/>
    </xf>
    <xf numFmtId="0" fontId="8" fillId="5" borderId="0" xfId="0" applyFont="1" applyFill="1"/>
    <xf numFmtId="0" fontId="2" fillId="5" borderId="0" xfId="0" applyFont="1" applyFill="1"/>
    <xf numFmtId="0" fontId="8" fillId="0" borderId="1" xfId="0" applyFont="1" applyFill="1" applyBorder="1"/>
    <xf numFmtId="16" fontId="1"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xf>
    <xf numFmtId="0" fontId="1" fillId="0" borderId="1" xfId="0" applyFont="1" applyFill="1" applyBorder="1" applyAlignment="1">
      <alignment wrapText="1"/>
    </xf>
    <xf numFmtId="0" fontId="8" fillId="0" borderId="1" xfId="0" applyFont="1" applyFill="1" applyBorder="1" applyAlignment="1">
      <alignment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vertical="top"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textRotation="90" wrapText="1"/>
    </xf>
    <xf numFmtId="0" fontId="1" fillId="0" borderId="1" xfId="0" applyFont="1" applyFill="1" applyBorder="1" applyAlignment="1">
      <alignment horizontal="left" vertical="center"/>
    </xf>
    <xf numFmtId="0" fontId="1" fillId="0" borderId="1" xfId="0" applyFont="1" applyFill="1" applyBorder="1" applyAlignment="1">
      <alignment horizontal="justify" vertical="center" wrapText="1"/>
    </xf>
    <xf numFmtId="0" fontId="9"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164" fontId="6" fillId="0" borderId="1" xfId="0" applyNumberFormat="1" applyFont="1" applyFill="1" applyBorder="1" applyAlignment="1">
      <alignment horizontal="right" wrapText="1"/>
    </xf>
    <xf numFmtId="0" fontId="9" fillId="0" borderId="1" xfId="0" applyFont="1" applyFill="1" applyBorder="1" applyAlignment="1">
      <alignment horizontal="left" vertical="center"/>
    </xf>
    <xf numFmtId="0" fontId="1" fillId="2" borderId="1" xfId="0" applyFont="1" applyFill="1" applyBorder="1"/>
    <xf numFmtId="0" fontId="6" fillId="2" borderId="1" xfId="0" applyFont="1" applyFill="1" applyBorder="1" applyAlignment="1">
      <alignment vertical="center" wrapText="1"/>
    </xf>
    <xf numFmtId="4" fontId="6" fillId="2" borderId="1" xfId="0" applyNumberFormat="1" applyFont="1" applyFill="1" applyBorder="1"/>
    <xf numFmtId="164" fontId="6" fillId="2" borderId="1" xfId="0" applyNumberFormat="1" applyFont="1" applyFill="1" applyBorder="1"/>
    <xf numFmtId="4" fontId="6" fillId="2" borderId="1" xfId="0" applyNumberFormat="1" applyFont="1" applyFill="1" applyBorder="1" applyAlignment="1">
      <alignment horizontal="right"/>
    </xf>
    <xf numFmtId="0" fontId="8" fillId="2" borderId="0" xfId="0" applyFont="1" applyFill="1"/>
    <xf numFmtId="0" fontId="1" fillId="2" borderId="1" xfId="0" applyFont="1" applyFill="1" applyBorder="1" applyAlignment="1">
      <alignment vertical="center" wrapText="1"/>
    </xf>
    <xf numFmtId="4" fontId="1" fillId="2" borderId="1" xfId="0" applyNumberFormat="1" applyFont="1" applyFill="1" applyBorder="1"/>
    <xf numFmtId="164" fontId="1" fillId="2" borderId="1" xfId="0" applyNumberFormat="1" applyFont="1" applyFill="1" applyBorder="1"/>
    <xf numFmtId="0" fontId="1" fillId="2" borderId="1" xfId="0" applyFont="1" applyFill="1" applyBorder="1" applyAlignment="1">
      <alignment horizontal="center" vertical="center" textRotation="90" wrapText="1"/>
    </xf>
    <xf numFmtId="4" fontId="6" fillId="2" borderId="1" xfId="0" applyNumberFormat="1" applyFont="1" applyFill="1" applyBorder="1" applyAlignment="1">
      <alignment horizontal="right" wrapText="1"/>
    </xf>
    <xf numFmtId="0" fontId="6" fillId="2" borderId="1" xfId="0" applyFont="1" applyFill="1" applyBorder="1" applyAlignment="1">
      <alignment horizontal="left" vertical="center" wrapText="1"/>
    </xf>
    <xf numFmtId="16" fontId="6" fillId="2" borderId="1" xfId="0" applyNumberFormat="1" applyFont="1" applyFill="1" applyBorder="1" applyAlignment="1">
      <alignment horizontal="center" vertical="center" wrapText="1"/>
    </xf>
    <xf numFmtId="0" fontId="9" fillId="2" borderId="1" xfId="0" applyFont="1" applyFill="1" applyBorder="1" applyAlignment="1">
      <alignment horizontal="left" vertical="center"/>
    </xf>
    <xf numFmtId="0" fontId="6" fillId="2" borderId="1" xfId="0" applyFont="1" applyFill="1" applyBorder="1" applyAlignment="1">
      <alignment wrapText="1"/>
    </xf>
    <xf numFmtId="0" fontId="12" fillId="2" borderId="0" xfId="0" applyFont="1" applyFill="1"/>
    <xf numFmtId="4" fontId="6" fillId="0" borderId="1" xfId="0" applyNumberFormat="1" applyFont="1" applyFill="1" applyBorder="1"/>
    <xf numFmtId="4" fontId="1" fillId="0" borderId="1" xfId="0" applyNumberFormat="1" applyFont="1" applyFill="1" applyBorder="1"/>
    <xf numFmtId="0" fontId="1" fillId="5"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 fillId="0" borderId="0" xfId="0" applyFont="1" applyFill="1" applyAlignment="1">
      <alignment horizontal="center" vertical="center" wrapText="1"/>
    </xf>
    <xf numFmtId="0" fontId="15" fillId="0" borderId="0" xfId="0" applyFont="1" applyFill="1"/>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textRotation="90" wrapText="1"/>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14" fillId="0" borderId="0" xfId="0" applyFont="1" applyFill="1" applyAlignment="1">
      <alignment horizontal="center" vertical="center" wrapText="1"/>
    </xf>
    <xf numFmtId="0" fontId="13" fillId="0" borderId="0" xfId="0" applyFont="1" applyFill="1" applyAlignment="1">
      <alignment horizontal="center" vertical="center" wrapText="1"/>
    </xf>
    <xf numFmtId="0" fontId="6"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6" fillId="0" borderId="1" xfId="0" applyFont="1" applyFill="1" applyBorder="1" applyAlignment="1">
      <alignment vertical="center" wrapText="1"/>
    </xf>
    <xf numFmtId="0" fontId="9" fillId="0" borderId="1" xfId="0" applyFont="1" applyFill="1" applyBorder="1" applyAlignment="1">
      <alignment vertical="center" wrapText="1"/>
    </xf>
    <xf numFmtId="0" fontId="5" fillId="0" borderId="1" xfId="0" applyFont="1" applyFill="1" applyBorder="1" applyAlignment="1">
      <alignment horizontal="center" vertical="center"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center" textRotation="90" wrapText="1"/>
    </xf>
    <xf numFmtId="0" fontId="0" fillId="0" borderId="4" xfId="0" applyFill="1" applyBorder="1" applyAlignment="1">
      <alignment horizontal="center" vertical="center" textRotation="90" wrapText="1"/>
    </xf>
    <xf numFmtId="0" fontId="0" fillId="0" borderId="2" xfId="0" applyFill="1" applyBorder="1" applyAlignment="1">
      <alignment horizontal="center" vertical="center" textRotation="90" wrapText="1"/>
    </xf>
    <xf numFmtId="0" fontId="1" fillId="0" borderId="1" xfId="0" applyFont="1" applyFill="1" applyBorder="1" applyAlignment="1">
      <alignment horizontal="center"/>
    </xf>
    <xf numFmtId="0" fontId="5" fillId="0" borderId="1" xfId="0" applyFont="1" applyFill="1" applyBorder="1" applyAlignment="1">
      <alignment horizontal="center"/>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xf>
    <xf numFmtId="0" fontId="1" fillId="0" borderId="3" xfId="0" applyFont="1" applyFill="1" applyBorder="1" applyAlignment="1">
      <alignment horizontal="center" vertical="center" wrapText="1"/>
    </xf>
    <xf numFmtId="0" fontId="0" fillId="0" borderId="2" xfId="0" applyBorder="1" applyAlignment="1">
      <alignment horizontal="center" vertical="center" wrapText="1"/>
    </xf>
    <xf numFmtId="0" fontId="1" fillId="0" borderId="4" xfId="0" applyFont="1" applyFill="1" applyBorder="1" applyAlignment="1">
      <alignment horizontal="center" vertical="center" wrapText="1"/>
    </xf>
    <xf numFmtId="0" fontId="0" fillId="0" borderId="4" xfId="0" applyFill="1" applyBorder="1" applyAlignment="1">
      <alignment horizontal="center" vertical="center" wrapText="1"/>
    </xf>
    <xf numFmtId="0" fontId="0" fillId="0" borderId="2" xfId="0"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0" borderId="4" xfId="0" applyBorder="1" applyAlignment="1">
      <alignment horizontal="center" vertical="center" wrapText="1"/>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Light16"/>
  <colors>
    <mruColors>
      <color rgb="FFFFD4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35"/>
  <sheetViews>
    <sheetView tabSelected="1" view="pageBreakPreview" zoomScale="80" zoomScaleNormal="53" zoomScaleSheetLayoutView="80" workbookViewId="0">
      <pane xSplit="2" ySplit="9" topLeftCell="D10" activePane="bottomRight" state="frozen"/>
      <selection pane="topRight" activeCell="C1" sqref="C1"/>
      <selection pane="bottomLeft" activeCell="A10" sqref="A10"/>
      <selection pane="bottomRight" activeCell="C112" sqref="C112"/>
    </sheetView>
  </sheetViews>
  <sheetFormatPr defaultRowHeight="15" x14ac:dyDescent="0.25"/>
  <cols>
    <col min="1" max="1" width="9.7109375" style="29" customWidth="1"/>
    <col min="2" max="2" width="59.5703125" style="29" customWidth="1"/>
    <col min="3" max="3" width="59.140625" style="29" customWidth="1"/>
    <col min="4" max="4" width="16.42578125" style="29" customWidth="1"/>
    <col min="5" max="5" width="15.42578125" style="29" customWidth="1"/>
    <col min="6" max="6" width="15" style="29" customWidth="1"/>
    <col min="7" max="7" width="14" style="29" customWidth="1"/>
    <col min="8" max="8" width="14.140625" style="29" customWidth="1"/>
    <col min="9" max="9" width="13.7109375" style="29" customWidth="1"/>
    <col min="10" max="10" width="18.85546875" style="29" customWidth="1"/>
    <col min="11" max="11" width="14.5703125" style="29" customWidth="1"/>
    <col min="12" max="12" width="12.42578125" style="29" customWidth="1"/>
    <col min="13" max="13" width="15.7109375" style="29" customWidth="1"/>
    <col min="14" max="14" width="13.28515625" style="29" customWidth="1"/>
    <col min="15" max="15" width="14.42578125" style="29" customWidth="1"/>
    <col min="16" max="16" width="16" style="29" customWidth="1"/>
    <col min="17" max="17" width="15.5703125" style="29" customWidth="1"/>
    <col min="18" max="19" width="14.28515625" style="29" customWidth="1"/>
    <col min="20" max="20" width="16.28515625" style="29" customWidth="1"/>
    <col min="21" max="21" width="15.7109375" style="29" customWidth="1"/>
    <col min="22" max="22" width="12.5703125" style="29" customWidth="1"/>
    <col min="23" max="23" width="12.140625" style="29" customWidth="1"/>
    <col min="24" max="24" width="19.5703125" style="29" customWidth="1"/>
    <col min="25" max="25" width="15.7109375" style="29" customWidth="1"/>
    <col min="26" max="26" width="14.5703125" style="29" customWidth="1"/>
    <col min="27" max="27" width="14.7109375" style="29" customWidth="1"/>
    <col min="28" max="28" width="17.28515625" style="29" customWidth="1"/>
    <col min="29" max="29" width="14" style="29" customWidth="1"/>
    <col min="30" max="30" width="18.7109375" style="29" customWidth="1"/>
    <col min="31" max="31" width="17.5703125" style="5" customWidth="1"/>
  </cols>
  <sheetData>
    <row r="1" spans="1:31" ht="54.75" customHeight="1" x14ac:dyDescent="0.25">
      <c r="F1" s="90" t="s">
        <v>161</v>
      </c>
      <c r="G1" s="90"/>
      <c r="H1" s="90"/>
      <c r="I1" s="90"/>
      <c r="J1" s="90"/>
      <c r="K1" s="90"/>
      <c r="L1" s="90"/>
      <c r="M1" s="91"/>
    </row>
    <row r="2" spans="1:31" ht="32.25" customHeight="1" x14ac:dyDescent="0.25">
      <c r="F2" s="98" t="s">
        <v>88</v>
      </c>
      <c r="G2" s="98"/>
      <c r="H2" s="98"/>
      <c r="I2" s="98"/>
      <c r="J2" s="98"/>
      <c r="K2" s="98"/>
      <c r="L2" s="98"/>
      <c r="M2" s="98"/>
      <c r="N2" s="98"/>
    </row>
    <row r="3" spans="1:31" ht="45.75" customHeight="1" x14ac:dyDescent="0.25">
      <c r="B3" s="97" t="s">
        <v>160</v>
      </c>
      <c r="C3" s="97"/>
      <c r="D3" s="97"/>
    </row>
    <row r="4" spans="1:31" ht="1.9" hidden="1" customHeight="1" x14ac:dyDescent="0.25">
      <c r="F4" s="7"/>
      <c r="G4" s="7"/>
      <c r="H4" s="7"/>
      <c r="I4" s="7"/>
      <c r="J4" s="7"/>
      <c r="K4" s="7"/>
      <c r="L4" s="7"/>
    </row>
    <row r="5" spans="1:31" ht="19.899999999999999" hidden="1" customHeight="1" x14ac:dyDescent="0.25"/>
    <row r="6" spans="1:31" ht="30" customHeight="1" x14ac:dyDescent="0.25">
      <c r="A6" s="113" t="s">
        <v>19</v>
      </c>
      <c r="B6" s="96" t="s">
        <v>20</v>
      </c>
      <c r="C6" s="92" t="s">
        <v>21</v>
      </c>
      <c r="D6" s="92" t="s">
        <v>0</v>
      </c>
      <c r="E6" s="96" t="s">
        <v>22</v>
      </c>
      <c r="F6" s="96"/>
      <c r="G6" s="96"/>
      <c r="H6" s="96"/>
      <c r="I6" s="96"/>
      <c r="J6" s="96"/>
      <c r="K6" s="96"/>
      <c r="L6" s="96"/>
      <c r="M6" s="96"/>
      <c r="N6" s="96"/>
      <c r="O6" s="101" t="s">
        <v>22</v>
      </c>
      <c r="P6" s="101"/>
      <c r="Q6" s="101"/>
      <c r="R6" s="101"/>
      <c r="S6" s="101"/>
      <c r="T6" s="101"/>
      <c r="U6" s="101"/>
      <c r="V6" s="101"/>
      <c r="W6" s="101"/>
      <c r="X6" s="101"/>
      <c r="Y6" s="96" t="s">
        <v>22</v>
      </c>
      <c r="Z6" s="96"/>
      <c r="AA6" s="96"/>
      <c r="AB6" s="96"/>
      <c r="AC6" s="96"/>
      <c r="AD6" s="96"/>
    </row>
    <row r="7" spans="1:31" ht="23.25" customHeight="1" x14ac:dyDescent="0.25">
      <c r="A7" s="114"/>
      <c r="B7" s="104"/>
      <c r="C7" s="104"/>
      <c r="D7" s="93"/>
      <c r="E7" s="94" t="s">
        <v>55</v>
      </c>
      <c r="F7" s="95"/>
      <c r="G7" s="95"/>
      <c r="H7" s="95"/>
      <c r="I7" s="95"/>
      <c r="J7" s="94" t="s">
        <v>56</v>
      </c>
      <c r="K7" s="95"/>
      <c r="L7" s="95"/>
      <c r="M7" s="95"/>
      <c r="N7" s="95"/>
      <c r="O7" s="94" t="s">
        <v>57</v>
      </c>
      <c r="P7" s="95"/>
      <c r="Q7" s="95"/>
      <c r="R7" s="95"/>
      <c r="S7" s="95"/>
      <c r="T7" s="94" t="s">
        <v>58</v>
      </c>
      <c r="U7" s="95"/>
      <c r="V7" s="95"/>
      <c r="W7" s="95"/>
      <c r="X7" s="95"/>
      <c r="Y7" s="111" t="s">
        <v>59</v>
      </c>
      <c r="Z7" s="112"/>
      <c r="AA7" s="112"/>
      <c r="AB7" s="112"/>
      <c r="AC7" s="112"/>
      <c r="AD7" s="115" t="s">
        <v>23</v>
      </c>
    </row>
    <row r="8" spans="1:31" ht="87.75" customHeight="1" x14ac:dyDescent="0.25">
      <c r="A8" s="114"/>
      <c r="B8" s="104"/>
      <c r="C8" s="104"/>
      <c r="D8" s="93"/>
      <c r="E8" s="25" t="s">
        <v>1</v>
      </c>
      <c r="F8" s="25" t="s">
        <v>14</v>
      </c>
      <c r="G8" s="25" t="s">
        <v>15</v>
      </c>
      <c r="H8" s="25" t="s">
        <v>16</v>
      </c>
      <c r="I8" s="25" t="s">
        <v>17</v>
      </c>
      <c r="J8" s="25" t="s">
        <v>1</v>
      </c>
      <c r="K8" s="25" t="s">
        <v>14</v>
      </c>
      <c r="L8" s="25" t="s">
        <v>15</v>
      </c>
      <c r="M8" s="25" t="s">
        <v>16</v>
      </c>
      <c r="N8" s="25" t="s">
        <v>17</v>
      </c>
      <c r="O8" s="25" t="s">
        <v>1</v>
      </c>
      <c r="P8" s="25" t="s">
        <v>14</v>
      </c>
      <c r="Q8" s="25" t="s">
        <v>15</v>
      </c>
      <c r="R8" s="25" t="s">
        <v>16</v>
      </c>
      <c r="S8" s="25" t="s">
        <v>17</v>
      </c>
      <c r="T8" s="25" t="s">
        <v>1</v>
      </c>
      <c r="U8" s="25" t="s">
        <v>14</v>
      </c>
      <c r="V8" s="25" t="s">
        <v>15</v>
      </c>
      <c r="W8" s="25" t="s">
        <v>16</v>
      </c>
      <c r="X8" s="25" t="s">
        <v>17</v>
      </c>
      <c r="Y8" s="25" t="s">
        <v>1</v>
      </c>
      <c r="Z8" s="25" t="s">
        <v>14</v>
      </c>
      <c r="AA8" s="25" t="s">
        <v>15</v>
      </c>
      <c r="AB8" s="25" t="s">
        <v>16</v>
      </c>
      <c r="AC8" s="25" t="s">
        <v>17</v>
      </c>
      <c r="AD8" s="115"/>
    </row>
    <row r="9" spans="1:31" ht="13.5" customHeight="1" x14ac:dyDescent="0.25">
      <c r="A9" s="52">
        <v>1</v>
      </c>
      <c r="B9" s="52">
        <v>2</v>
      </c>
      <c r="C9" s="53">
        <v>3</v>
      </c>
      <c r="D9" s="52">
        <v>4</v>
      </c>
      <c r="E9" s="52">
        <v>5</v>
      </c>
      <c r="F9" s="52">
        <v>6</v>
      </c>
      <c r="G9" s="52">
        <v>7</v>
      </c>
      <c r="H9" s="52">
        <v>8</v>
      </c>
      <c r="I9" s="52">
        <v>9</v>
      </c>
      <c r="J9" s="52">
        <v>10</v>
      </c>
      <c r="K9" s="52">
        <v>11</v>
      </c>
      <c r="L9" s="52">
        <v>12</v>
      </c>
      <c r="M9" s="52">
        <v>13</v>
      </c>
      <c r="N9" s="52">
        <v>14</v>
      </c>
      <c r="O9" s="52">
        <v>15</v>
      </c>
      <c r="P9" s="52">
        <v>16</v>
      </c>
      <c r="Q9" s="52">
        <v>17</v>
      </c>
      <c r="R9" s="52">
        <v>18</v>
      </c>
      <c r="S9" s="52">
        <v>19</v>
      </c>
      <c r="T9" s="52">
        <v>20</v>
      </c>
      <c r="U9" s="52">
        <v>21</v>
      </c>
      <c r="V9" s="52">
        <v>22</v>
      </c>
      <c r="W9" s="52">
        <v>23</v>
      </c>
      <c r="X9" s="52">
        <v>24</v>
      </c>
      <c r="Y9" s="52">
        <v>25</v>
      </c>
      <c r="Z9" s="52">
        <v>26</v>
      </c>
      <c r="AA9" s="52">
        <v>27</v>
      </c>
      <c r="AB9" s="52">
        <v>28</v>
      </c>
      <c r="AC9" s="52">
        <v>29</v>
      </c>
      <c r="AD9" s="54">
        <v>30</v>
      </c>
    </row>
    <row r="10" spans="1:31" s="1" customFormat="1" ht="74.25" customHeight="1" x14ac:dyDescent="0.25">
      <c r="A10" s="55"/>
      <c r="B10" s="102" t="s">
        <v>167</v>
      </c>
      <c r="C10" s="103"/>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6"/>
    </row>
    <row r="11" spans="1:31" s="1" customFormat="1" ht="39" customHeight="1" x14ac:dyDescent="0.25">
      <c r="A11" s="55"/>
      <c r="B11" s="99" t="s">
        <v>60</v>
      </c>
      <c r="C11" s="100"/>
      <c r="D11" s="41"/>
      <c r="E11" s="41"/>
      <c r="F11" s="41"/>
      <c r="G11" s="41"/>
      <c r="H11" s="41"/>
      <c r="I11" s="41"/>
      <c r="J11" s="41"/>
      <c r="K11" s="41"/>
      <c r="L11" s="41"/>
      <c r="M11" s="41"/>
      <c r="N11" s="41"/>
      <c r="O11" s="49"/>
      <c r="P11" s="49"/>
      <c r="Q11" s="49"/>
      <c r="R11" s="49"/>
      <c r="S11" s="49"/>
      <c r="T11" s="49"/>
      <c r="U11" s="49"/>
      <c r="V11" s="49"/>
      <c r="W11" s="49"/>
      <c r="X11" s="49"/>
      <c r="Y11" s="49"/>
      <c r="Z11" s="49"/>
      <c r="AA11" s="49"/>
      <c r="AB11" s="49"/>
      <c r="AC11" s="49"/>
      <c r="AD11" s="49"/>
      <c r="AE11" s="6"/>
    </row>
    <row r="12" spans="1:31" s="1" customFormat="1" ht="145.5" customHeight="1" x14ac:dyDescent="0.25">
      <c r="A12" s="52" t="s">
        <v>2</v>
      </c>
      <c r="B12" s="24" t="s">
        <v>26</v>
      </c>
      <c r="C12" s="96" t="s">
        <v>168</v>
      </c>
      <c r="D12" s="92" t="s">
        <v>62</v>
      </c>
      <c r="E12" s="38"/>
      <c r="F12" s="38"/>
      <c r="G12" s="38"/>
      <c r="H12" s="38"/>
      <c r="I12" s="38"/>
      <c r="J12" s="38"/>
      <c r="K12" s="38"/>
      <c r="L12" s="38"/>
      <c r="M12" s="38"/>
      <c r="N12" s="38"/>
      <c r="O12" s="38"/>
      <c r="P12" s="26"/>
      <c r="Q12" s="26"/>
      <c r="R12" s="26"/>
      <c r="S12" s="26"/>
      <c r="T12" s="26"/>
      <c r="U12" s="26"/>
      <c r="V12" s="26"/>
      <c r="W12" s="26"/>
      <c r="X12" s="26"/>
      <c r="Y12" s="26"/>
      <c r="Z12" s="26"/>
      <c r="AA12" s="26"/>
      <c r="AB12" s="26"/>
      <c r="AC12" s="26"/>
      <c r="AD12" s="26"/>
      <c r="AE12" s="6"/>
    </row>
    <row r="13" spans="1:31" s="29" customFormat="1" ht="78" customHeight="1" x14ac:dyDescent="0.25">
      <c r="A13" s="52" t="s">
        <v>51</v>
      </c>
      <c r="B13" s="24" t="s">
        <v>12</v>
      </c>
      <c r="C13" s="126"/>
      <c r="D13" s="92"/>
      <c r="E13" s="23">
        <f>SUM(F13:I13)</f>
        <v>636225</v>
      </c>
      <c r="F13" s="23">
        <f>598478+46+5000+11546+15063+6092</f>
        <v>636225</v>
      </c>
      <c r="G13" s="23">
        <v>0</v>
      </c>
      <c r="H13" s="23">
        <v>0</v>
      </c>
      <c r="I13" s="23">
        <v>0</v>
      </c>
      <c r="J13" s="27">
        <f>SUM(K13:N13)</f>
        <v>746602</v>
      </c>
      <c r="K13" s="27">
        <f>744436+2166</f>
        <v>746602</v>
      </c>
      <c r="L13" s="23">
        <v>0</v>
      </c>
      <c r="M13" s="23">
        <v>0</v>
      </c>
      <c r="N13" s="23">
        <v>0</v>
      </c>
      <c r="O13" s="23">
        <f>SUM(P13:S13)</f>
        <v>738730</v>
      </c>
      <c r="P13" s="23">
        <v>738730</v>
      </c>
      <c r="Q13" s="23">
        <v>0</v>
      </c>
      <c r="R13" s="26">
        <v>0</v>
      </c>
      <c r="S13" s="26">
        <v>0</v>
      </c>
      <c r="T13" s="23">
        <f>SUM(U13:X13)</f>
        <v>738730</v>
      </c>
      <c r="U13" s="26">
        <v>738730</v>
      </c>
      <c r="V13" s="26">
        <v>0</v>
      </c>
      <c r="W13" s="26">
        <v>0</v>
      </c>
      <c r="X13" s="26">
        <v>0</v>
      </c>
      <c r="Y13" s="23">
        <f>SUM(Z13:AC13)</f>
        <v>534448</v>
      </c>
      <c r="Z13" s="26">
        <v>534448</v>
      </c>
      <c r="AA13" s="26">
        <v>0</v>
      </c>
      <c r="AB13" s="26">
        <v>0</v>
      </c>
      <c r="AC13" s="26">
        <v>0</v>
      </c>
      <c r="AD13" s="26">
        <f t="shared" ref="AD13:AD23" si="0">SUM(Y13,T13,O13,J13,E13)</f>
        <v>3394735</v>
      </c>
    </row>
    <row r="14" spans="1:31" s="1" customFormat="1" ht="126.75" customHeight="1" x14ac:dyDescent="0.25">
      <c r="A14" s="52" t="s">
        <v>52</v>
      </c>
      <c r="B14" s="24" t="s">
        <v>13</v>
      </c>
      <c r="C14" s="126"/>
      <c r="D14" s="92"/>
      <c r="E14" s="23">
        <f>SUM(F14:I14)</f>
        <v>588630</v>
      </c>
      <c r="F14" s="23">
        <f>545301+18717+18860+5752</f>
        <v>588630</v>
      </c>
      <c r="G14" s="23">
        <v>0</v>
      </c>
      <c r="H14" s="23">
        <v>0</v>
      </c>
      <c r="I14" s="23">
        <v>0</v>
      </c>
      <c r="J14" s="27">
        <f>SUM(K14:N14)</f>
        <v>681925</v>
      </c>
      <c r="K14" s="27">
        <f>680104+449+1372</f>
        <v>681925</v>
      </c>
      <c r="L14" s="23">
        <v>0</v>
      </c>
      <c r="M14" s="23">
        <v>0</v>
      </c>
      <c r="N14" s="23">
        <v>0</v>
      </c>
      <c r="O14" s="23">
        <f>SUM(P14:S14)</f>
        <v>680104</v>
      </c>
      <c r="P14" s="26">
        <v>680104</v>
      </c>
      <c r="Q14" s="26">
        <v>0</v>
      </c>
      <c r="R14" s="26">
        <v>0</v>
      </c>
      <c r="S14" s="26">
        <v>0</v>
      </c>
      <c r="T14" s="23">
        <f>SUM(U14:X14)</f>
        <v>680104</v>
      </c>
      <c r="U14" s="23">
        <v>680104</v>
      </c>
      <c r="V14" s="26">
        <v>0</v>
      </c>
      <c r="W14" s="26">
        <v>0</v>
      </c>
      <c r="X14" s="26">
        <v>0</v>
      </c>
      <c r="Y14" s="23">
        <f>SUM(Z14:AC14)</f>
        <v>472162</v>
      </c>
      <c r="Z14" s="23">
        <v>472162</v>
      </c>
      <c r="AA14" s="26">
        <v>0</v>
      </c>
      <c r="AB14" s="26">
        <v>0</v>
      </c>
      <c r="AC14" s="26">
        <v>0</v>
      </c>
      <c r="AD14" s="26">
        <f t="shared" si="0"/>
        <v>3102925</v>
      </c>
      <c r="AE14" s="29"/>
    </row>
    <row r="15" spans="1:31" s="29" customFormat="1" ht="51" customHeight="1" x14ac:dyDescent="0.25">
      <c r="A15" s="50" t="s">
        <v>63</v>
      </c>
      <c r="B15" s="24" t="s">
        <v>86</v>
      </c>
      <c r="C15" s="88" t="s">
        <v>35</v>
      </c>
      <c r="D15" s="25" t="s">
        <v>82</v>
      </c>
      <c r="E15" s="23">
        <f>F15+G15+H15+I15</f>
        <v>1015</v>
      </c>
      <c r="F15" s="23">
        <f>1602-175-412</f>
        <v>1015</v>
      </c>
      <c r="G15" s="23">
        <v>0</v>
      </c>
      <c r="H15" s="23">
        <v>0</v>
      </c>
      <c r="I15" s="23">
        <v>0</v>
      </c>
      <c r="J15" s="23">
        <f>K15+L15+M15+N15</f>
        <v>1200</v>
      </c>
      <c r="K15" s="23">
        <v>1200</v>
      </c>
      <c r="L15" s="23">
        <v>0</v>
      </c>
      <c r="M15" s="23">
        <v>0</v>
      </c>
      <c r="N15" s="23">
        <v>0</v>
      </c>
      <c r="O15" s="23">
        <f>P15+Q15+R15+S15</f>
        <v>1200</v>
      </c>
      <c r="P15" s="23">
        <v>1200</v>
      </c>
      <c r="Q15" s="23">
        <v>0</v>
      </c>
      <c r="R15" s="23">
        <v>0</v>
      </c>
      <c r="S15" s="23">
        <v>0</v>
      </c>
      <c r="T15" s="23">
        <f>U15+V15+W15+X15</f>
        <v>1200</v>
      </c>
      <c r="U15" s="23">
        <v>1200</v>
      </c>
      <c r="V15" s="23">
        <v>0</v>
      </c>
      <c r="W15" s="23">
        <v>0</v>
      </c>
      <c r="X15" s="23">
        <v>0</v>
      </c>
      <c r="Y15" s="23">
        <f>Z15+AA15+AB15+AC15</f>
        <v>0</v>
      </c>
      <c r="Z15" s="23">
        <v>0</v>
      </c>
      <c r="AA15" s="23">
        <v>0</v>
      </c>
      <c r="AB15" s="23">
        <v>0</v>
      </c>
      <c r="AC15" s="23">
        <v>0</v>
      </c>
      <c r="AD15" s="26">
        <f t="shared" si="0"/>
        <v>4615</v>
      </c>
    </row>
    <row r="16" spans="1:31" s="29" customFormat="1" ht="99.75" customHeight="1" x14ac:dyDescent="0.25">
      <c r="A16" s="52" t="s">
        <v>18</v>
      </c>
      <c r="B16" s="31" t="s">
        <v>79</v>
      </c>
      <c r="C16" s="88" t="s">
        <v>169</v>
      </c>
      <c r="D16" s="25" t="s">
        <v>62</v>
      </c>
      <c r="E16" s="23">
        <f t="shared" ref="E16:E21" si="1">SUM(F16:I16)</f>
        <v>1000</v>
      </c>
      <c r="F16" s="23">
        <v>1000</v>
      </c>
      <c r="G16" s="23">
        <v>0</v>
      </c>
      <c r="H16" s="23">
        <v>0</v>
      </c>
      <c r="I16" s="23">
        <v>0</v>
      </c>
      <c r="J16" s="23">
        <f t="shared" ref="J16:J22" si="2">SUM(K16:N16)</f>
        <v>1000</v>
      </c>
      <c r="K16" s="23">
        <v>1000</v>
      </c>
      <c r="L16" s="23">
        <v>0</v>
      </c>
      <c r="M16" s="23">
        <v>0</v>
      </c>
      <c r="N16" s="23">
        <v>0</v>
      </c>
      <c r="O16" s="23">
        <f t="shared" ref="O16:O22" si="3">SUM(P16:S16)</f>
        <v>1000</v>
      </c>
      <c r="P16" s="23">
        <v>1000</v>
      </c>
      <c r="Q16" s="23">
        <v>0</v>
      </c>
      <c r="R16" s="23">
        <v>0</v>
      </c>
      <c r="S16" s="23">
        <v>0</v>
      </c>
      <c r="T16" s="23">
        <f t="shared" ref="T16:T21" si="4">SUM(U16:X16)</f>
        <v>1000</v>
      </c>
      <c r="U16" s="23">
        <v>1000</v>
      </c>
      <c r="V16" s="23">
        <v>0</v>
      </c>
      <c r="W16" s="23">
        <v>0</v>
      </c>
      <c r="X16" s="23">
        <v>0</v>
      </c>
      <c r="Y16" s="23">
        <f t="shared" ref="Y16:Y21" si="5">SUM(Z16:AC16)</f>
        <v>1000</v>
      </c>
      <c r="Z16" s="23">
        <v>1000</v>
      </c>
      <c r="AA16" s="23">
        <v>0</v>
      </c>
      <c r="AB16" s="23">
        <v>0</v>
      </c>
      <c r="AC16" s="23">
        <v>0</v>
      </c>
      <c r="AD16" s="26">
        <f t="shared" si="0"/>
        <v>5000</v>
      </c>
    </row>
    <row r="17" spans="1:31" s="29" customFormat="1" ht="90.75" customHeight="1" x14ac:dyDescent="0.25">
      <c r="A17" s="52" t="s">
        <v>125</v>
      </c>
      <c r="B17" s="24" t="s">
        <v>138</v>
      </c>
      <c r="C17" s="88" t="s">
        <v>40</v>
      </c>
      <c r="D17" s="25" t="s">
        <v>82</v>
      </c>
      <c r="E17" s="23">
        <f t="shared" si="1"/>
        <v>4737</v>
      </c>
      <c r="F17" s="23">
        <f>295-58</f>
        <v>237</v>
      </c>
      <c r="G17" s="23">
        <v>1620</v>
      </c>
      <c r="H17" s="23">
        <v>2880</v>
      </c>
      <c r="I17" s="23">
        <v>0</v>
      </c>
      <c r="J17" s="23">
        <f t="shared" si="2"/>
        <v>3789</v>
      </c>
      <c r="K17" s="23">
        <f>283-67-27</f>
        <v>189</v>
      </c>
      <c r="L17" s="23">
        <v>1260</v>
      </c>
      <c r="M17" s="23">
        <v>2340</v>
      </c>
      <c r="N17" s="23">
        <v>0</v>
      </c>
      <c r="O17" s="23">
        <f t="shared" si="3"/>
        <v>3789</v>
      </c>
      <c r="P17" s="26">
        <f>211-22</f>
        <v>189</v>
      </c>
      <c r="Q17" s="26">
        <v>1260</v>
      </c>
      <c r="R17" s="26">
        <v>2340</v>
      </c>
      <c r="S17" s="26">
        <v>0</v>
      </c>
      <c r="T17" s="23">
        <f t="shared" si="4"/>
        <v>3789</v>
      </c>
      <c r="U17" s="23">
        <v>189</v>
      </c>
      <c r="V17" s="23">
        <v>1260</v>
      </c>
      <c r="W17" s="23">
        <v>2340</v>
      </c>
      <c r="X17" s="23">
        <v>0</v>
      </c>
      <c r="Y17" s="23">
        <f t="shared" si="5"/>
        <v>0</v>
      </c>
      <c r="Z17" s="23">
        <v>0</v>
      </c>
      <c r="AA17" s="23">
        <v>0</v>
      </c>
      <c r="AB17" s="23">
        <v>0</v>
      </c>
      <c r="AC17" s="23">
        <v>0</v>
      </c>
      <c r="AD17" s="26">
        <f t="shared" si="0"/>
        <v>16104</v>
      </c>
    </row>
    <row r="18" spans="1:31" s="29" customFormat="1" ht="74.25" customHeight="1" x14ac:dyDescent="0.25">
      <c r="A18" s="52" t="s">
        <v>27</v>
      </c>
      <c r="B18" s="24" t="s">
        <v>93</v>
      </c>
      <c r="C18" s="88" t="s">
        <v>170</v>
      </c>
      <c r="D18" s="25" t="s">
        <v>62</v>
      </c>
      <c r="E18" s="23">
        <f t="shared" si="1"/>
        <v>301</v>
      </c>
      <c r="F18" s="23">
        <v>301</v>
      </c>
      <c r="G18" s="23">
        <v>0</v>
      </c>
      <c r="H18" s="23">
        <v>0</v>
      </c>
      <c r="I18" s="23">
        <v>0</v>
      </c>
      <c r="J18" s="23">
        <f t="shared" si="2"/>
        <v>1238</v>
      </c>
      <c r="K18" s="23">
        <v>1238</v>
      </c>
      <c r="L18" s="49">
        <v>0</v>
      </c>
      <c r="M18" s="23">
        <v>0</v>
      </c>
      <c r="N18" s="23">
        <v>0</v>
      </c>
      <c r="O18" s="23">
        <f t="shared" si="3"/>
        <v>301</v>
      </c>
      <c r="P18" s="26">
        <v>301</v>
      </c>
      <c r="Q18" s="26">
        <v>0</v>
      </c>
      <c r="R18" s="26">
        <v>0</v>
      </c>
      <c r="S18" s="26">
        <v>0</v>
      </c>
      <c r="T18" s="23">
        <f t="shared" si="4"/>
        <v>301</v>
      </c>
      <c r="U18" s="23">
        <v>301</v>
      </c>
      <c r="V18" s="23">
        <v>0</v>
      </c>
      <c r="W18" s="23">
        <v>0</v>
      </c>
      <c r="X18" s="23">
        <v>0</v>
      </c>
      <c r="Y18" s="23">
        <f t="shared" si="5"/>
        <v>330</v>
      </c>
      <c r="Z18" s="23">
        <v>330</v>
      </c>
      <c r="AA18" s="23">
        <v>0</v>
      </c>
      <c r="AB18" s="23">
        <v>0</v>
      </c>
      <c r="AC18" s="23">
        <v>0</v>
      </c>
      <c r="AD18" s="26">
        <f t="shared" si="0"/>
        <v>2471</v>
      </c>
    </row>
    <row r="19" spans="1:31" s="1" customFormat="1" ht="66.75" customHeight="1" x14ac:dyDescent="0.25">
      <c r="A19" s="52" t="s">
        <v>28</v>
      </c>
      <c r="B19" s="24" t="s">
        <v>81</v>
      </c>
      <c r="C19" s="88" t="s">
        <v>171</v>
      </c>
      <c r="D19" s="25">
        <v>2027</v>
      </c>
      <c r="E19" s="23">
        <f t="shared" si="1"/>
        <v>0</v>
      </c>
      <c r="F19" s="23">
        <v>0</v>
      </c>
      <c r="G19" s="23">
        <v>0</v>
      </c>
      <c r="H19" s="23">
        <v>0</v>
      </c>
      <c r="I19" s="23">
        <v>0</v>
      </c>
      <c r="J19" s="23">
        <f t="shared" si="2"/>
        <v>0</v>
      </c>
      <c r="K19" s="23">
        <v>0</v>
      </c>
      <c r="L19" s="23">
        <v>0</v>
      </c>
      <c r="M19" s="23">
        <v>0</v>
      </c>
      <c r="N19" s="23">
        <v>0</v>
      </c>
      <c r="O19" s="23">
        <f t="shared" si="3"/>
        <v>0</v>
      </c>
      <c r="P19" s="26">
        <v>0</v>
      </c>
      <c r="Q19" s="26">
        <v>0</v>
      </c>
      <c r="R19" s="26">
        <v>0</v>
      </c>
      <c r="S19" s="26">
        <v>0</v>
      </c>
      <c r="T19" s="23">
        <f t="shared" si="4"/>
        <v>0</v>
      </c>
      <c r="U19" s="23">
        <v>0</v>
      </c>
      <c r="V19" s="23">
        <v>0</v>
      </c>
      <c r="W19" s="23">
        <v>0</v>
      </c>
      <c r="X19" s="23">
        <v>0</v>
      </c>
      <c r="Y19" s="23">
        <f t="shared" si="5"/>
        <v>0</v>
      </c>
      <c r="Z19" s="23">
        <v>0</v>
      </c>
      <c r="AA19" s="23">
        <v>0</v>
      </c>
      <c r="AB19" s="23">
        <v>0</v>
      </c>
      <c r="AC19" s="23">
        <v>0</v>
      </c>
      <c r="AD19" s="26">
        <f t="shared" si="0"/>
        <v>0</v>
      </c>
      <c r="AE19" s="10"/>
    </row>
    <row r="20" spans="1:31" s="1" customFormat="1" ht="76.5" customHeight="1" x14ac:dyDescent="0.25">
      <c r="A20" s="52" t="s">
        <v>29</v>
      </c>
      <c r="B20" s="24" t="s">
        <v>61</v>
      </c>
      <c r="C20" s="88" t="s">
        <v>172</v>
      </c>
      <c r="D20" s="25" t="s">
        <v>126</v>
      </c>
      <c r="E20" s="23">
        <f t="shared" si="1"/>
        <v>0</v>
      </c>
      <c r="F20" s="23">
        <v>0</v>
      </c>
      <c r="G20" s="23">
        <v>0</v>
      </c>
      <c r="H20" s="23">
        <v>0</v>
      </c>
      <c r="I20" s="23">
        <v>0</v>
      </c>
      <c r="J20" s="23">
        <f t="shared" si="2"/>
        <v>0</v>
      </c>
      <c r="K20" s="23">
        <v>0</v>
      </c>
      <c r="L20" s="23">
        <v>0</v>
      </c>
      <c r="M20" s="23">
        <v>0</v>
      </c>
      <c r="N20" s="23">
        <v>0</v>
      </c>
      <c r="O20" s="23">
        <f t="shared" si="3"/>
        <v>0</v>
      </c>
      <c r="P20" s="26">
        <v>0</v>
      </c>
      <c r="Q20" s="26">
        <v>0</v>
      </c>
      <c r="R20" s="26">
        <v>0</v>
      </c>
      <c r="S20" s="26">
        <v>0</v>
      </c>
      <c r="T20" s="23">
        <f t="shared" si="4"/>
        <v>0</v>
      </c>
      <c r="U20" s="26">
        <v>0</v>
      </c>
      <c r="V20" s="26">
        <v>0</v>
      </c>
      <c r="W20" s="26">
        <v>0</v>
      </c>
      <c r="X20" s="26">
        <v>0</v>
      </c>
      <c r="Y20" s="23">
        <f t="shared" si="5"/>
        <v>299</v>
      </c>
      <c r="Z20" s="26">
        <v>299</v>
      </c>
      <c r="AA20" s="26">
        <v>0</v>
      </c>
      <c r="AB20" s="26">
        <v>0</v>
      </c>
      <c r="AC20" s="26">
        <v>0</v>
      </c>
      <c r="AD20" s="26">
        <f t="shared" si="0"/>
        <v>299</v>
      </c>
      <c r="AE20" s="6"/>
    </row>
    <row r="21" spans="1:31" s="29" customFormat="1" ht="126.75" customHeight="1" x14ac:dyDescent="0.25">
      <c r="A21" s="52" t="s">
        <v>127</v>
      </c>
      <c r="B21" s="24" t="s">
        <v>128</v>
      </c>
      <c r="C21" s="88" t="s">
        <v>35</v>
      </c>
      <c r="D21" s="25" t="s">
        <v>62</v>
      </c>
      <c r="E21" s="23">
        <f t="shared" si="1"/>
        <v>291</v>
      </c>
      <c r="F21" s="23">
        <f>406-115</f>
        <v>291</v>
      </c>
      <c r="G21" s="23">
        <v>0</v>
      </c>
      <c r="H21" s="23">
        <v>0</v>
      </c>
      <c r="I21" s="23">
        <v>0</v>
      </c>
      <c r="J21" s="23">
        <f t="shared" si="2"/>
        <v>366</v>
      </c>
      <c r="K21" s="23">
        <v>366</v>
      </c>
      <c r="L21" s="23">
        <v>0</v>
      </c>
      <c r="M21" s="23">
        <v>0</v>
      </c>
      <c r="N21" s="23">
        <v>0</v>
      </c>
      <c r="O21" s="23">
        <f t="shared" si="3"/>
        <v>366</v>
      </c>
      <c r="P21" s="26">
        <v>366</v>
      </c>
      <c r="Q21" s="26">
        <v>0</v>
      </c>
      <c r="R21" s="26">
        <v>0</v>
      </c>
      <c r="S21" s="26">
        <v>0</v>
      </c>
      <c r="T21" s="23">
        <f t="shared" si="4"/>
        <v>366</v>
      </c>
      <c r="U21" s="26">
        <v>366</v>
      </c>
      <c r="V21" s="26">
        <v>0</v>
      </c>
      <c r="W21" s="26">
        <v>0</v>
      </c>
      <c r="X21" s="26">
        <v>0</v>
      </c>
      <c r="Y21" s="23">
        <f t="shared" si="5"/>
        <v>0</v>
      </c>
      <c r="Z21" s="26">
        <v>0</v>
      </c>
      <c r="AA21" s="26">
        <v>0</v>
      </c>
      <c r="AB21" s="26">
        <v>0</v>
      </c>
      <c r="AC21" s="26">
        <v>0</v>
      </c>
      <c r="AD21" s="26">
        <f t="shared" si="0"/>
        <v>1389</v>
      </c>
    </row>
    <row r="22" spans="1:31" s="47" customFormat="1" ht="63.75" customHeight="1" x14ac:dyDescent="0.25">
      <c r="A22" s="52" t="s">
        <v>147</v>
      </c>
      <c r="B22" s="24" t="s">
        <v>148</v>
      </c>
      <c r="C22" s="88" t="s">
        <v>173</v>
      </c>
      <c r="D22" s="25">
        <v>2025</v>
      </c>
      <c r="E22" s="23">
        <v>0</v>
      </c>
      <c r="F22" s="23">
        <v>0</v>
      </c>
      <c r="G22" s="23">
        <v>0</v>
      </c>
      <c r="H22" s="23">
        <v>0</v>
      </c>
      <c r="I22" s="23">
        <v>0</v>
      </c>
      <c r="J22" s="23">
        <f t="shared" si="2"/>
        <v>3158</v>
      </c>
      <c r="K22" s="23">
        <v>158</v>
      </c>
      <c r="L22" s="23">
        <v>3000</v>
      </c>
      <c r="M22" s="23">
        <v>0</v>
      </c>
      <c r="N22" s="23">
        <v>0</v>
      </c>
      <c r="O22" s="23">
        <f t="shared" si="3"/>
        <v>0</v>
      </c>
      <c r="P22" s="26">
        <v>0</v>
      </c>
      <c r="Q22" s="26">
        <v>0</v>
      </c>
      <c r="R22" s="26">
        <v>0</v>
      </c>
      <c r="S22" s="26">
        <v>0</v>
      </c>
      <c r="T22" s="23">
        <v>0</v>
      </c>
      <c r="U22" s="23">
        <v>0</v>
      </c>
      <c r="V22" s="23">
        <v>0</v>
      </c>
      <c r="W22" s="23">
        <v>0</v>
      </c>
      <c r="X22" s="23">
        <v>0</v>
      </c>
      <c r="Y22" s="23">
        <v>0</v>
      </c>
      <c r="Z22" s="23">
        <v>0</v>
      </c>
      <c r="AA22" s="23">
        <v>0</v>
      </c>
      <c r="AB22" s="23">
        <v>0</v>
      </c>
      <c r="AC22" s="23">
        <v>0</v>
      </c>
      <c r="AD22" s="26">
        <f t="shared" si="0"/>
        <v>3158</v>
      </c>
    </row>
    <row r="23" spans="1:31" s="3" customFormat="1" ht="28.9" customHeight="1" x14ac:dyDescent="0.25">
      <c r="A23" s="42"/>
      <c r="B23" s="41" t="s">
        <v>33</v>
      </c>
      <c r="C23" s="57"/>
      <c r="D23" s="58"/>
      <c r="E23" s="38">
        <f t="shared" ref="E23:AC23" si="6">SUM(E13:E21)</f>
        <v>1232199</v>
      </c>
      <c r="F23" s="38">
        <f t="shared" si="6"/>
        <v>1227699</v>
      </c>
      <c r="G23" s="38">
        <f t="shared" si="6"/>
        <v>1620</v>
      </c>
      <c r="H23" s="38">
        <f t="shared" si="6"/>
        <v>2880</v>
      </c>
      <c r="I23" s="38">
        <f t="shared" si="6"/>
        <v>0</v>
      </c>
      <c r="J23" s="79">
        <f>SUM(J13:J22)</f>
        <v>1439278</v>
      </c>
      <c r="K23" s="79">
        <f>SUM(K13:K22)</f>
        <v>1432678</v>
      </c>
      <c r="L23" s="38">
        <f>SUM(L13:L22)</f>
        <v>4260</v>
      </c>
      <c r="M23" s="38">
        <f>SUM(M13:M22)</f>
        <v>2340</v>
      </c>
      <c r="N23" s="38">
        <f>SUM(N13:N22)</f>
        <v>0</v>
      </c>
      <c r="O23" s="38">
        <f t="shared" si="6"/>
        <v>1425490</v>
      </c>
      <c r="P23" s="38">
        <f t="shared" si="6"/>
        <v>1421890</v>
      </c>
      <c r="Q23" s="38">
        <f t="shared" si="6"/>
        <v>1260</v>
      </c>
      <c r="R23" s="38">
        <f t="shared" si="6"/>
        <v>2340</v>
      </c>
      <c r="S23" s="38">
        <f t="shared" si="6"/>
        <v>0</v>
      </c>
      <c r="T23" s="38">
        <f t="shared" si="6"/>
        <v>1425490</v>
      </c>
      <c r="U23" s="38">
        <f t="shared" si="6"/>
        <v>1421890</v>
      </c>
      <c r="V23" s="38">
        <f t="shared" si="6"/>
        <v>1260</v>
      </c>
      <c r="W23" s="38">
        <f t="shared" si="6"/>
        <v>2340</v>
      </c>
      <c r="X23" s="38">
        <f t="shared" si="6"/>
        <v>0</v>
      </c>
      <c r="Y23" s="38">
        <f t="shared" si="6"/>
        <v>1008239</v>
      </c>
      <c r="Z23" s="38">
        <f t="shared" si="6"/>
        <v>1008239</v>
      </c>
      <c r="AA23" s="38">
        <f t="shared" si="6"/>
        <v>0</v>
      </c>
      <c r="AB23" s="38">
        <f t="shared" si="6"/>
        <v>0</v>
      </c>
      <c r="AC23" s="38">
        <f t="shared" si="6"/>
        <v>0</v>
      </c>
      <c r="AD23" s="73">
        <f t="shared" si="0"/>
        <v>6530696</v>
      </c>
      <c r="AE23" s="4"/>
    </row>
    <row r="24" spans="1:31" s="1" customFormat="1" ht="60.75" customHeight="1" x14ac:dyDescent="0.25">
      <c r="A24" s="55"/>
      <c r="B24" s="99" t="s">
        <v>94</v>
      </c>
      <c r="C24" s="99"/>
      <c r="D24" s="59"/>
      <c r="E24" s="38"/>
      <c r="F24" s="38"/>
      <c r="G24" s="38"/>
      <c r="H24" s="38"/>
      <c r="I24" s="38"/>
      <c r="J24" s="38"/>
      <c r="K24" s="38"/>
      <c r="L24" s="38"/>
      <c r="M24" s="38"/>
      <c r="N24" s="38"/>
      <c r="O24" s="38"/>
      <c r="P24" s="26"/>
      <c r="Q24" s="26"/>
      <c r="R24" s="26"/>
      <c r="S24" s="26"/>
      <c r="T24" s="26"/>
      <c r="U24" s="26"/>
      <c r="V24" s="26"/>
      <c r="W24" s="26"/>
      <c r="X24" s="26"/>
      <c r="Y24" s="26"/>
      <c r="Z24" s="26"/>
      <c r="AA24" s="26"/>
      <c r="AB24" s="26"/>
      <c r="AC24" s="26"/>
      <c r="AD24" s="26"/>
      <c r="AE24" s="6"/>
    </row>
    <row r="25" spans="1:31" s="1" customFormat="1" ht="94.5" customHeight="1" x14ac:dyDescent="0.25">
      <c r="A25" s="50" t="s">
        <v>3</v>
      </c>
      <c r="B25" s="24" t="s">
        <v>64</v>
      </c>
      <c r="C25" s="53" t="s">
        <v>47</v>
      </c>
      <c r="D25" s="25" t="s">
        <v>62</v>
      </c>
      <c r="E25" s="23">
        <f t="shared" ref="E25:E32" si="7">SUM(F25:I25)</f>
        <v>0</v>
      </c>
      <c r="F25" s="23">
        <v>0</v>
      </c>
      <c r="G25" s="23">
        <v>0</v>
      </c>
      <c r="H25" s="23">
        <v>0</v>
      </c>
      <c r="I25" s="23">
        <v>0</v>
      </c>
      <c r="J25" s="23">
        <f t="shared" ref="J25:J32" si="8">SUM(K25:N25)</f>
        <v>0</v>
      </c>
      <c r="K25" s="23">
        <v>0</v>
      </c>
      <c r="L25" s="23">
        <v>0</v>
      </c>
      <c r="M25" s="23">
        <v>0</v>
      </c>
      <c r="N25" s="23">
        <v>0</v>
      </c>
      <c r="O25" s="23">
        <f t="shared" ref="O25:O32" si="9">SUM(P25:S25)</f>
        <v>0</v>
      </c>
      <c r="P25" s="23">
        <v>0</v>
      </c>
      <c r="Q25" s="23">
        <v>0</v>
      </c>
      <c r="R25" s="23">
        <v>0</v>
      </c>
      <c r="S25" s="23">
        <v>0</v>
      </c>
      <c r="T25" s="23">
        <f t="shared" ref="T25:T32" si="10">SUM(U25:X25)</f>
        <v>0</v>
      </c>
      <c r="U25" s="23">
        <v>0</v>
      </c>
      <c r="V25" s="23">
        <v>0</v>
      </c>
      <c r="W25" s="23">
        <v>0</v>
      </c>
      <c r="X25" s="23">
        <v>0</v>
      </c>
      <c r="Y25" s="23">
        <f t="shared" ref="Y25:Y32" si="11">SUM(Z25:AC25)</f>
        <v>0</v>
      </c>
      <c r="Z25" s="23">
        <v>0</v>
      </c>
      <c r="AA25" s="23">
        <v>0</v>
      </c>
      <c r="AB25" s="23">
        <v>0</v>
      </c>
      <c r="AC25" s="23">
        <v>0</v>
      </c>
      <c r="AD25" s="26">
        <f t="shared" ref="AD25:AD33" si="12">SUM(Y25,T25,O25,J25,E25)</f>
        <v>0</v>
      </c>
      <c r="AE25" s="6"/>
    </row>
    <row r="26" spans="1:31" s="1" customFormat="1" ht="95.25" customHeight="1" x14ac:dyDescent="0.25">
      <c r="A26" s="52" t="s">
        <v>4</v>
      </c>
      <c r="B26" s="24" t="s">
        <v>48</v>
      </c>
      <c r="C26" s="88" t="s">
        <v>174</v>
      </c>
      <c r="D26" s="25" t="s">
        <v>62</v>
      </c>
      <c r="E26" s="23">
        <f t="shared" si="7"/>
        <v>0</v>
      </c>
      <c r="F26" s="23">
        <v>0</v>
      </c>
      <c r="G26" s="23">
        <v>0</v>
      </c>
      <c r="H26" s="23">
        <v>0</v>
      </c>
      <c r="I26" s="23">
        <v>0</v>
      </c>
      <c r="J26" s="23">
        <f t="shared" si="8"/>
        <v>0</v>
      </c>
      <c r="K26" s="23">
        <v>0</v>
      </c>
      <c r="L26" s="23">
        <v>0</v>
      </c>
      <c r="M26" s="23">
        <v>0</v>
      </c>
      <c r="N26" s="23">
        <v>0</v>
      </c>
      <c r="O26" s="23">
        <f t="shared" si="9"/>
        <v>0</v>
      </c>
      <c r="P26" s="23">
        <v>0</v>
      </c>
      <c r="Q26" s="23">
        <v>0</v>
      </c>
      <c r="R26" s="23">
        <v>0</v>
      </c>
      <c r="S26" s="23">
        <v>0</v>
      </c>
      <c r="T26" s="23">
        <f t="shared" si="10"/>
        <v>0</v>
      </c>
      <c r="U26" s="23">
        <v>0</v>
      </c>
      <c r="V26" s="23">
        <v>0</v>
      </c>
      <c r="W26" s="23">
        <v>0</v>
      </c>
      <c r="X26" s="23">
        <v>0</v>
      </c>
      <c r="Y26" s="23">
        <f t="shared" si="11"/>
        <v>0</v>
      </c>
      <c r="Z26" s="23">
        <v>0</v>
      </c>
      <c r="AA26" s="23">
        <v>0</v>
      </c>
      <c r="AB26" s="23">
        <v>0</v>
      </c>
      <c r="AC26" s="23">
        <v>0</v>
      </c>
      <c r="AD26" s="26">
        <f t="shared" si="12"/>
        <v>0</v>
      </c>
      <c r="AE26" s="6"/>
    </row>
    <row r="27" spans="1:31" s="1" customFormat="1" ht="73.5" customHeight="1" x14ac:dyDescent="0.25">
      <c r="A27" s="52" t="s">
        <v>5</v>
      </c>
      <c r="B27" s="24" t="s">
        <v>54</v>
      </c>
      <c r="C27" s="88" t="s">
        <v>175</v>
      </c>
      <c r="D27" s="25" t="s">
        <v>62</v>
      </c>
      <c r="E27" s="23">
        <f t="shared" si="7"/>
        <v>0</v>
      </c>
      <c r="F27" s="23">
        <v>0</v>
      </c>
      <c r="G27" s="23">
        <v>0</v>
      </c>
      <c r="H27" s="23">
        <v>0</v>
      </c>
      <c r="I27" s="23">
        <v>0</v>
      </c>
      <c r="J27" s="23">
        <f t="shared" si="8"/>
        <v>0</v>
      </c>
      <c r="K27" s="23">
        <v>0</v>
      </c>
      <c r="L27" s="23">
        <v>0</v>
      </c>
      <c r="M27" s="23">
        <v>0</v>
      </c>
      <c r="N27" s="23">
        <v>0</v>
      </c>
      <c r="O27" s="23">
        <f t="shared" si="9"/>
        <v>0</v>
      </c>
      <c r="P27" s="23">
        <v>0</v>
      </c>
      <c r="Q27" s="23">
        <v>0</v>
      </c>
      <c r="R27" s="23">
        <v>0</v>
      </c>
      <c r="S27" s="23">
        <v>0</v>
      </c>
      <c r="T27" s="23">
        <f t="shared" si="10"/>
        <v>0</v>
      </c>
      <c r="U27" s="23">
        <v>0</v>
      </c>
      <c r="V27" s="23">
        <v>0</v>
      </c>
      <c r="W27" s="23">
        <v>0</v>
      </c>
      <c r="X27" s="23">
        <v>0</v>
      </c>
      <c r="Y27" s="23">
        <f t="shared" si="11"/>
        <v>0</v>
      </c>
      <c r="Z27" s="23">
        <v>0</v>
      </c>
      <c r="AA27" s="23">
        <v>0</v>
      </c>
      <c r="AB27" s="23">
        <v>0</v>
      </c>
      <c r="AC27" s="23">
        <v>0</v>
      </c>
      <c r="AD27" s="26">
        <f t="shared" si="12"/>
        <v>0</v>
      </c>
      <c r="AE27" s="6"/>
    </row>
    <row r="28" spans="1:31" s="1" customFormat="1" ht="85.15" customHeight="1" x14ac:dyDescent="0.25">
      <c r="A28" s="52" t="s">
        <v>6</v>
      </c>
      <c r="B28" s="24" t="s">
        <v>41</v>
      </c>
      <c r="C28" s="88" t="s">
        <v>176</v>
      </c>
      <c r="D28" s="25" t="s">
        <v>62</v>
      </c>
      <c r="E28" s="23">
        <f t="shared" si="7"/>
        <v>0</v>
      </c>
      <c r="F28" s="23">
        <v>0</v>
      </c>
      <c r="G28" s="23">
        <v>0</v>
      </c>
      <c r="H28" s="23">
        <v>0</v>
      </c>
      <c r="I28" s="23">
        <v>0</v>
      </c>
      <c r="J28" s="23">
        <f t="shared" si="8"/>
        <v>0</v>
      </c>
      <c r="K28" s="23">
        <v>0</v>
      </c>
      <c r="L28" s="23">
        <v>0</v>
      </c>
      <c r="M28" s="23">
        <v>0</v>
      </c>
      <c r="N28" s="23">
        <v>0</v>
      </c>
      <c r="O28" s="23">
        <f t="shared" si="9"/>
        <v>0</v>
      </c>
      <c r="P28" s="23">
        <v>0</v>
      </c>
      <c r="Q28" s="23">
        <v>0</v>
      </c>
      <c r="R28" s="23">
        <v>0</v>
      </c>
      <c r="S28" s="23">
        <v>0</v>
      </c>
      <c r="T28" s="23">
        <f t="shared" si="10"/>
        <v>0</v>
      </c>
      <c r="U28" s="23">
        <v>0</v>
      </c>
      <c r="V28" s="23">
        <v>0</v>
      </c>
      <c r="W28" s="23">
        <v>0</v>
      </c>
      <c r="X28" s="23">
        <v>0</v>
      </c>
      <c r="Y28" s="23">
        <f t="shared" si="11"/>
        <v>287</v>
      </c>
      <c r="Z28" s="23">
        <v>287</v>
      </c>
      <c r="AA28" s="23">
        <v>0</v>
      </c>
      <c r="AB28" s="23">
        <v>0</v>
      </c>
      <c r="AC28" s="23">
        <v>0</v>
      </c>
      <c r="AD28" s="26">
        <f t="shared" si="12"/>
        <v>287</v>
      </c>
      <c r="AE28" s="6"/>
    </row>
    <row r="29" spans="1:31" s="29" customFormat="1" ht="61.5" customHeight="1" x14ac:dyDescent="0.25">
      <c r="A29" s="52" t="s">
        <v>65</v>
      </c>
      <c r="B29" s="31" t="s">
        <v>89</v>
      </c>
      <c r="C29" s="53" t="s">
        <v>95</v>
      </c>
      <c r="D29" s="25" t="s">
        <v>62</v>
      </c>
      <c r="E29" s="23">
        <f t="shared" si="7"/>
        <v>74</v>
      </c>
      <c r="F29" s="23">
        <v>74</v>
      </c>
      <c r="G29" s="23">
        <v>0</v>
      </c>
      <c r="H29" s="23">
        <v>0</v>
      </c>
      <c r="I29" s="23">
        <v>0</v>
      </c>
      <c r="J29" s="23">
        <f t="shared" si="8"/>
        <v>74</v>
      </c>
      <c r="K29" s="23">
        <v>74</v>
      </c>
      <c r="L29" s="23">
        <v>0</v>
      </c>
      <c r="M29" s="23">
        <v>0</v>
      </c>
      <c r="N29" s="23">
        <v>0</v>
      </c>
      <c r="O29" s="23">
        <f t="shared" si="9"/>
        <v>74</v>
      </c>
      <c r="P29" s="23">
        <v>74</v>
      </c>
      <c r="Q29" s="23">
        <v>0</v>
      </c>
      <c r="R29" s="23">
        <v>0</v>
      </c>
      <c r="S29" s="23">
        <v>0</v>
      </c>
      <c r="T29" s="23">
        <f t="shared" si="10"/>
        <v>74</v>
      </c>
      <c r="U29" s="23">
        <v>74</v>
      </c>
      <c r="V29" s="23">
        <v>0</v>
      </c>
      <c r="W29" s="23">
        <v>0</v>
      </c>
      <c r="X29" s="23">
        <v>0</v>
      </c>
      <c r="Y29" s="23">
        <f t="shared" si="11"/>
        <v>101</v>
      </c>
      <c r="Z29" s="23">
        <v>101</v>
      </c>
      <c r="AA29" s="23">
        <v>0</v>
      </c>
      <c r="AB29" s="23">
        <v>0</v>
      </c>
      <c r="AC29" s="23">
        <v>0</v>
      </c>
      <c r="AD29" s="26">
        <f t="shared" si="12"/>
        <v>397</v>
      </c>
    </row>
    <row r="30" spans="1:31" s="1" customFormat="1" ht="77.25" customHeight="1" x14ac:dyDescent="0.25">
      <c r="A30" s="52" t="s">
        <v>66</v>
      </c>
      <c r="B30" s="31" t="s">
        <v>69</v>
      </c>
      <c r="C30" s="88" t="s">
        <v>177</v>
      </c>
      <c r="D30" s="25" t="s">
        <v>62</v>
      </c>
      <c r="E30" s="23">
        <f t="shared" si="7"/>
        <v>0</v>
      </c>
      <c r="F30" s="23">
        <v>0</v>
      </c>
      <c r="G30" s="23">
        <v>0</v>
      </c>
      <c r="H30" s="23">
        <v>0</v>
      </c>
      <c r="I30" s="23">
        <v>0</v>
      </c>
      <c r="J30" s="23">
        <f t="shared" si="8"/>
        <v>0</v>
      </c>
      <c r="K30" s="23">
        <v>0</v>
      </c>
      <c r="L30" s="23">
        <v>0</v>
      </c>
      <c r="M30" s="23">
        <v>0</v>
      </c>
      <c r="N30" s="23">
        <v>0</v>
      </c>
      <c r="O30" s="23">
        <f t="shared" si="9"/>
        <v>0</v>
      </c>
      <c r="P30" s="23">
        <v>0</v>
      </c>
      <c r="Q30" s="23">
        <v>0</v>
      </c>
      <c r="R30" s="23">
        <v>0</v>
      </c>
      <c r="S30" s="23">
        <v>0</v>
      </c>
      <c r="T30" s="23">
        <f t="shared" si="10"/>
        <v>0</v>
      </c>
      <c r="U30" s="23">
        <v>0</v>
      </c>
      <c r="V30" s="23">
        <v>0</v>
      </c>
      <c r="W30" s="23">
        <v>0</v>
      </c>
      <c r="X30" s="23">
        <v>0</v>
      </c>
      <c r="Y30" s="23">
        <f t="shared" si="11"/>
        <v>0</v>
      </c>
      <c r="Z30" s="23">
        <v>0</v>
      </c>
      <c r="AA30" s="23">
        <v>0</v>
      </c>
      <c r="AB30" s="23">
        <v>0</v>
      </c>
      <c r="AC30" s="23">
        <v>0</v>
      </c>
      <c r="AD30" s="26">
        <f t="shared" si="12"/>
        <v>0</v>
      </c>
      <c r="AE30" s="11"/>
    </row>
    <row r="31" spans="1:31" s="1" customFormat="1" ht="300" customHeight="1" x14ac:dyDescent="0.25">
      <c r="A31" s="52" t="s">
        <v>67</v>
      </c>
      <c r="B31" s="33" t="s">
        <v>90</v>
      </c>
      <c r="C31" s="88" t="s">
        <v>178</v>
      </c>
      <c r="D31" s="25" t="s">
        <v>62</v>
      </c>
      <c r="E31" s="23">
        <f t="shared" si="7"/>
        <v>0</v>
      </c>
      <c r="F31" s="23">
        <v>0</v>
      </c>
      <c r="G31" s="23">
        <v>0</v>
      </c>
      <c r="H31" s="23">
        <v>0</v>
      </c>
      <c r="I31" s="23">
        <v>0</v>
      </c>
      <c r="J31" s="23">
        <f t="shared" si="8"/>
        <v>0</v>
      </c>
      <c r="K31" s="23">
        <v>0</v>
      </c>
      <c r="L31" s="23">
        <v>0</v>
      </c>
      <c r="M31" s="23">
        <v>0</v>
      </c>
      <c r="N31" s="23">
        <v>0</v>
      </c>
      <c r="O31" s="23">
        <f t="shared" si="9"/>
        <v>0</v>
      </c>
      <c r="P31" s="23">
        <v>0</v>
      </c>
      <c r="Q31" s="23">
        <v>0</v>
      </c>
      <c r="R31" s="23">
        <v>0</v>
      </c>
      <c r="S31" s="23">
        <v>0</v>
      </c>
      <c r="T31" s="23">
        <f t="shared" si="10"/>
        <v>0</v>
      </c>
      <c r="U31" s="23">
        <v>0</v>
      </c>
      <c r="V31" s="23">
        <v>0</v>
      </c>
      <c r="W31" s="23">
        <v>0</v>
      </c>
      <c r="X31" s="23">
        <v>0</v>
      </c>
      <c r="Y31" s="23">
        <f t="shared" si="11"/>
        <v>0</v>
      </c>
      <c r="Z31" s="23">
        <v>0</v>
      </c>
      <c r="AA31" s="23">
        <v>0</v>
      </c>
      <c r="AB31" s="23">
        <v>0</v>
      </c>
      <c r="AC31" s="23">
        <v>0</v>
      </c>
      <c r="AD31" s="26">
        <f t="shared" si="12"/>
        <v>0</v>
      </c>
      <c r="AE31" s="11"/>
    </row>
    <row r="32" spans="1:31" s="29" customFormat="1" ht="102.75" customHeight="1" x14ac:dyDescent="0.25">
      <c r="A32" s="52" t="s">
        <v>68</v>
      </c>
      <c r="B32" s="33" t="s">
        <v>70</v>
      </c>
      <c r="C32" s="53" t="s">
        <v>87</v>
      </c>
      <c r="D32" s="25" t="s">
        <v>62</v>
      </c>
      <c r="E32" s="23">
        <f t="shared" si="7"/>
        <v>0</v>
      </c>
      <c r="F32" s="23">
        <f>2000-2000</f>
        <v>0</v>
      </c>
      <c r="G32" s="23">
        <v>0</v>
      </c>
      <c r="H32" s="23">
        <v>0</v>
      </c>
      <c r="I32" s="23">
        <v>0</v>
      </c>
      <c r="J32" s="23">
        <f t="shared" si="8"/>
        <v>0</v>
      </c>
      <c r="K32" s="23">
        <v>0</v>
      </c>
      <c r="L32" s="23">
        <v>0</v>
      </c>
      <c r="M32" s="23">
        <v>0</v>
      </c>
      <c r="N32" s="23">
        <v>0</v>
      </c>
      <c r="O32" s="23">
        <f t="shared" si="9"/>
        <v>0</v>
      </c>
      <c r="P32" s="23">
        <v>0</v>
      </c>
      <c r="Q32" s="23">
        <v>0</v>
      </c>
      <c r="R32" s="23">
        <v>0</v>
      </c>
      <c r="S32" s="23">
        <v>0</v>
      </c>
      <c r="T32" s="23">
        <f t="shared" si="10"/>
        <v>0</v>
      </c>
      <c r="U32" s="23">
        <v>0</v>
      </c>
      <c r="V32" s="23">
        <v>0</v>
      </c>
      <c r="W32" s="23">
        <v>0</v>
      </c>
      <c r="X32" s="23">
        <v>0</v>
      </c>
      <c r="Y32" s="23">
        <f t="shared" si="11"/>
        <v>2500</v>
      </c>
      <c r="Z32" s="23">
        <v>2500</v>
      </c>
      <c r="AA32" s="23">
        <v>0</v>
      </c>
      <c r="AB32" s="23">
        <v>0</v>
      </c>
      <c r="AC32" s="23">
        <v>0</v>
      </c>
      <c r="AD32" s="26">
        <f t="shared" si="12"/>
        <v>2500</v>
      </c>
    </row>
    <row r="33" spans="1:31" s="3" customFormat="1" ht="30" customHeight="1" x14ac:dyDescent="0.25">
      <c r="A33" s="60"/>
      <c r="B33" s="61" t="s">
        <v>34</v>
      </c>
      <c r="C33" s="58"/>
      <c r="D33" s="62"/>
      <c r="E33" s="38">
        <f t="shared" ref="E33:AC33" si="13">SUM(E25:E32)</f>
        <v>74</v>
      </c>
      <c r="F33" s="38">
        <f t="shared" si="13"/>
        <v>74</v>
      </c>
      <c r="G33" s="38">
        <f t="shared" si="13"/>
        <v>0</v>
      </c>
      <c r="H33" s="38">
        <f t="shared" si="13"/>
        <v>0</v>
      </c>
      <c r="I33" s="38">
        <f t="shared" si="13"/>
        <v>0</v>
      </c>
      <c r="J33" s="38">
        <f t="shared" si="13"/>
        <v>74</v>
      </c>
      <c r="K33" s="38">
        <f t="shared" si="13"/>
        <v>74</v>
      </c>
      <c r="L33" s="38">
        <f t="shared" si="13"/>
        <v>0</v>
      </c>
      <c r="M33" s="38">
        <f t="shared" si="13"/>
        <v>0</v>
      </c>
      <c r="N33" s="38">
        <f t="shared" si="13"/>
        <v>0</v>
      </c>
      <c r="O33" s="38">
        <f t="shared" si="13"/>
        <v>74</v>
      </c>
      <c r="P33" s="38">
        <f t="shared" si="13"/>
        <v>74</v>
      </c>
      <c r="Q33" s="38">
        <f t="shared" si="13"/>
        <v>0</v>
      </c>
      <c r="R33" s="38">
        <f t="shared" si="13"/>
        <v>0</v>
      </c>
      <c r="S33" s="38">
        <f t="shared" si="13"/>
        <v>0</v>
      </c>
      <c r="T33" s="38">
        <f t="shared" si="13"/>
        <v>74</v>
      </c>
      <c r="U33" s="38">
        <f t="shared" si="13"/>
        <v>74</v>
      </c>
      <c r="V33" s="38">
        <f t="shared" si="13"/>
        <v>0</v>
      </c>
      <c r="W33" s="38">
        <f t="shared" si="13"/>
        <v>0</v>
      </c>
      <c r="X33" s="38">
        <f t="shared" si="13"/>
        <v>0</v>
      </c>
      <c r="Y33" s="38">
        <f t="shared" si="13"/>
        <v>2888</v>
      </c>
      <c r="Z33" s="38">
        <f t="shared" si="13"/>
        <v>2888</v>
      </c>
      <c r="AA33" s="38">
        <f t="shared" si="13"/>
        <v>0</v>
      </c>
      <c r="AB33" s="38">
        <f t="shared" si="13"/>
        <v>0</v>
      </c>
      <c r="AC33" s="38">
        <f t="shared" si="13"/>
        <v>0</v>
      </c>
      <c r="AD33" s="44">
        <f t="shared" si="12"/>
        <v>3184</v>
      </c>
      <c r="AE33" s="4"/>
    </row>
    <row r="34" spans="1:31" s="1" customFormat="1" ht="37.5" customHeight="1" x14ac:dyDescent="0.25">
      <c r="A34" s="55"/>
      <c r="B34" s="99" t="s">
        <v>71</v>
      </c>
      <c r="C34" s="99"/>
      <c r="D34" s="59"/>
      <c r="E34" s="38"/>
      <c r="F34" s="38"/>
      <c r="G34" s="38"/>
      <c r="H34" s="38"/>
      <c r="I34" s="38"/>
      <c r="J34" s="38"/>
      <c r="K34" s="38"/>
      <c r="L34" s="38"/>
      <c r="M34" s="38"/>
      <c r="N34" s="38"/>
      <c r="O34" s="38"/>
      <c r="P34" s="26"/>
      <c r="Q34" s="26"/>
      <c r="R34" s="26"/>
      <c r="S34" s="26"/>
      <c r="T34" s="26"/>
      <c r="U34" s="26"/>
      <c r="V34" s="26"/>
      <c r="W34" s="26"/>
      <c r="X34" s="26"/>
      <c r="Y34" s="26"/>
      <c r="Z34" s="26"/>
      <c r="AA34" s="26"/>
      <c r="AB34" s="26"/>
      <c r="AC34" s="26"/>
      <c r="AD34" s="26"/>
      <c r="AE34" s="6"/>
    </row>
    <row r="35" spans="1:31" s="1" customFormat="1" ht="90.75" customHeight="1" x14ac:dyDescent="0.25">
      <c r="A35" s="116" t="s">
        <v>7</v>
      </c>
      <c r="B35" s="31" t="s">
        <v>107</v>
      </c>
      <c r="C35" s="116" t="s">
        <v>159</v>
      </c>
      <c r="D35" s="108" t="s">
        <v>62</v>
      </c>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6"/>
      <c r="AE35" s="6"/>
    </row>
    <row r="36" spans="1:31" s="29" customFormat="1" ht="22.5" customHeight="1" x14ac:dyDescent="0.25">
      <c r="A36" s="118"/>
      <c r="B36" s="24" t="s">
        <v>96</v>
      </c>
      <c r="C36" s="118"/>
      <c r="D36" s="109"/>
      <c r="E36" s="23">
        <f t="shared" ref="E36:E47" si="14">F36+G36+H36+I36</f>
        <v>1616</v>
      </c>
      <c r="F36" s="23">
        <f>1773-102-55</f>
        <v>1616</v>
      </c>
      <c r="G36" s="23">
        <v>0</v>
      </c>
      <c r="H36" s="23">
        <v>0</v>
      </c>
      <c r="I36" s="23">
        <v>0</v>
      </c>
      <c r="J36" s="27">
        <f t="shared" ref="J36:J48" si="15">K36+L36+M36+N36</f>
        <v>9661</v>
      </c>
      <c r="K36" s="27">
        <f>7870+1791</f>
        <v>9661</v>
      </c>
      <c r="L36" s="23">
        <v>0</v>
      </c>
      <c r="M36" s="23">
        <v>0</v>
      </c>
      <c r="N36" s="23">
        <v>0</v>
      </c>
      <c r="O36" s="23">
        <f t="shared" ref="O36:O48" si="16">P36+Q36+R36+S36</f>
        <v>4210</v>
      </c>
      <c r="P36" s="23">
        <v>4210</v>
      </c>
      <c r="Q36" s="23">
        <v>0</v>
      </c>
      <c r="R36" s="23">
        <v>0</v>
      </c>
      <c r="S36" s="23">
        <v>0</v>
      </c>
      <c r="T36" s="23">
        <f t="shared" ref="T36:T48" si="17">U36+V36+W36+X36</f>
        <v>0</v>
      </c>
      <c r="U36" s="23">
        <v>0</v>
      </c>
      <c r="V36" s="23">
        <v>0</v>
      </c>
      <c r="W36" s="23">
        <v>0</v>
      </c>
      <c r="X36" s="23">
        <v>0</v>
      </c>
      <c r="Y36" s="23">
        <f t="shared" ref="Y36:Y48" si="18">Z36+AA36+AB36+AC36</f>
        <v>0</v>
      </c>
      <c r="Z36" s="23">
        <v>0</v>
      </c>
      <c r="AA36" s="23">
        <v>0</v>
      </c>
      <c r="AB36" s="23">
        <v>0</v>
      </c>
      <c r="AC36" s="23">
        <v>0</v>
      </c>
      <c r="AD36" s="26">
        <f t="shared" ref="AD36:AD48" si="19">SUM(Y36,T36,O36,J36,E36)</f>
        <v>15487</v>
      </c>
    </row>
    <row r="37" spans="1:31" s="29" customFormat="1" ht="37.5" customHeight="1" x14ac:dyDescent="0.25">
      <c r="A37" s="118"/>
      <c r="B37" s="24" t="s">
        <v>97</v>
      </c>
      <c r="C37" s="118"/>
      <c r="D37" s="109"/>
      <c r="E37" s="23">
        <f t="shared" si="14"/>
        <v>1297</v>
      </c>
      <c r="F37" s="23">
        <f>4654-1713-41-1603</f>
        <v>1297</v>
      </c>
      <c r="G37" s="23">
        <v>0</v>
      </c>
      <c r="H37" s="23">
        <v>0</v>
      </c>
      <c r="I37" s="23">
        <v>0</v>
      </c>
      <c r="J37" s="23">
        <f t="shared" si="15"/>
        <v>8244</v>
      </c>
      <c r="K37" s="23">
        <f>1073+1253+1525+4393</f>
        <v>8244</v>
      </c>
      <c r="L37" s="23">
        <v>0</v>
      </c>
      <c r="M37" s="23">
        <v>0</v>
      </c>
      <c r="N37" s="23">
        <v>0</v>
      </c>
      <c r="O37" s="23">
        <f t="shared" si="16"/>
        <v>3694</v>
      </c>
      <c r="P37" s="23">
        <v>3694</v>
      </c>
      <c r="Q37" s="23">
        <v>0</v>
      </c>
      <c r="R37" s="23">
        <v>0</v>
      </c>
      <c r="S37" s="23">
        <v>0</v>
      </c>
      <c r="T37" s="23">
        <f t="shared" si="17"/>
        <v>0</v>
      </c>
      <c r="U37" s="23">
        <v>0</v>
      </c>
      <c r="V37" s="23">
        <v>0</v>
      </c>
      <c r="W37" s="23">
        <v>0</v>
      </c>
      <c r="X37" s="23">
        <v>0</v>
      </c>
      <c r="Y37" s="23">
        <f t="shared" si="18"/>
        <v>265</v>
      </c>
      <c r="Z37" s="23">
        <v>265</v>
      </c>
      <c r="AA37" s="23">
        <v>0</v>
      </c>
      <c r="AB37" s="23">
        <v>0</v>
      </c>
      <c r="AC37" s="23">
        <v>0</v>
      </c>
      <c r="AD37" s="26">
        <f t="shared" si="19"/>
        <v>13500</v>
      </c>
    </row>
    <row r="38" spans="1:31" s="29" customFormat="1" ht="26.25" customHeight="1" x14ac:dyDescent="0.25">
      <c r="A38" s="118"/>
      <c r="B38" s="24" t="s">
        <v>98</v>
      </c>
      <c r="C38" s="118"/>
      <c r="D38" s="109"/>
      <c r="E38" s="23">
        <f t="shared" si="14"/>
        <v>4316</v>
      </c>
      <c r="F38" s="23">
        <f>4891-872+455-108-50</f>
        <v>4316</v>
      </c>
      <c r="G38" s="23">
        <v>0</v>
      </c>
      <c r="H38" s="23">
        <v>0</v>
      </c>
      <c r="I38" s="23">
        <v>0</v>
      </c>
      <c r="J38" s="23">
        <f t="shared" si="15"/>
        <v>0</v>
      </c>
      <c r="K38" s="23">
        <v>0</v>
      </c>
      <c r="L38" s="23">
        <v>0</v>
      </c>
      <c r="M38" s="23">
        <v>0</v>
      </c>
      <c r="N38" s="23">
        <v>0</v>
      </c>
      <c r="O38" s="23">
        <f t="shared" si="16"/>
        <v>0</v>
      </c>
      <c r="P38" s="23">
        <v>0</v>
      </c>
      <c r="Q38" s="23">
        <v>0</v>
      </c>
      <c r="R38" s="23">
        <v>0</v>
      </c>
      <c r="S38" s="23">
        <v>0</v>
      </c>
      <c r="T38" s="23">
        <f t="shared" si="17"/>
        <v>0</v>
      </c>
      <c r="U38" s="23">
        <v>0</v>
      </c>
      <c r="V38" s="23">
        <v>0</v>
      </c>
      <c r="W38" s="23">
        <v>0</v>
      </c>
      <c r="X38" s="23">
        <v>0</v>
      </c>
      <c r="Y38" s="23">
        <f t="shared" si="18"/>
        <v>0</v>
      </c>
      <c r="Z38" s="23">
        <v>0</v>
      </c>
      <c r="AA38" s="23">
        <v>0</v>
      </c>
      <c r="AB38" s="23">
        <v>0</v>
      </c>
      <c r="AC38" s="23">
        <v>0</v>
      </c>
      <c r="AD38" s="26">
        <f t="shared" si="19"/>
        <v>4316</v>
      </c>
    </row>
    <row r="39" spans="1:31" s="29" customFormat="1" ht="44.25" customHeight="1" x14ac:dyDescent="0.25">
      <c r="A39" s="118"/>
      <c r="B39" s="24" t="s">
        <v>99</v>
      </c>
      <c r="C39" s="118"/>
      <c r="D39" s="109"/>
      <c r="E39" s="23">
        <f t="shared" si="14"/>
        <v>11368</v>
      </c>
      <c r="F39" s="23">
        <f>4762+4788-649+3381-378-587-54+105</f>
        <v>11368</v>
      </c>
      <c r="G39" s="23">
        <v>0</v>
      </c>
      <c r="H39" s="23">
        <v>0</v>
      </c>
      <c r="I39" s="23">
        <v>0</v>
      </c>
      <c r="J39" s="23">
        <f t="shared" si="15"/>
        <v>12474</v>
      </c>
      <c r="K39" s="23">
        <f>1563+10911</f>
        <v>12474</v>
      </c>
      <c r="L39" s="23">
        <v>0</v>
      </c>
      <c r="M39" s="23">
        <v>0</v>
      </c>
      <c r="N39" s="23">
        <v>0</v>
      </c>
      <c r="O39" s="23">
        <f t="shared" si="16"/>
        <v>0</v>
      </c>
      <c r="P39" s="23">
        <v>0</v>
      </c>
      <c r="Q39" s="23">
        <v>0</v>
      </c>
      <c r="R39" s="23">
        <v>0</v>
      </c>
      <c r="S39" s="23">
        <v>0</v>
      </c>
      <c r="T39" s="23">
        <f t="shared" si="17"/>
        <v>10222</v>
      </c>
      <c r="U39" s="23">
        <f>6364+3858</f>
        <v>10222</v>
      </c>
      <c r="V39" s="23">
        <v>0</v>
      </c>
      <c r="W39" s="23">
        <v>0</v>
      </c>
      <c r="X39" s="23">
        <v>0</v>
      </c>
      <c r="Y39" s="23">
        <f t="shared" si="18"/>
        <v>5579</v>
      </c>
      <c r="Z39" s="23">
        <v>5579</v>
      </c>
      <c r="AA39" s="23">
        <v>0</v>
      </c>
      <c r="AB39" s="23">
        <v>0</v>
      </c>
      <c r="AC39" s="23">
        <v>0</v>
      </c>
      <c r="AD39" s="26">
        <f t="shared" si="19"/>
        <v>39643</v>
      </c>
    </row>
    <row r="40" spans="1:31" s="29" customFormat="1" ht="26.25" customHeight="1" x14ac:dyDescent="0.25">
      <c r="A40" s="118"/>
      <c r="B40" s="24" t="s">
        <v>100</v>
      </c>
      <c r="C40" s="118"/>
      <c r="D40" s="109"/>
      <c r="E40" s="23">
        <f t="shared" si="14"/>
        <v>3534</v>
      </c>
      <c r="F40" s="23">
        <f>3738-160-44</f>
        <v>3534</v>
      </c>
      <c r="G40" s="23">
        <v>0</v>
      </c>
      <c r="H40" s="23">
        <v>0</v>
      </c>
      <c r="I40" s="23">
        <v>0</v>
      </c>
      <c r="J40" s="27">
        <f t="shared" si="15"/>
        <v>839</v>
      </c>
      <c r="K40" s="27">
        <f>201+421+167+50</f>
        <v>839</v>
      </c>
      <c r="L40" s="23">
        <v>0</v>
      </c>
      <c r="M40" s="23">
        <v>0</v>
      </c>
      <c r="N40" s="23">
        <v>0</v>
      </c>
      <c r="O40" s="23">
        <f t="shared" si="16"/>
        <v>380</v>
      </c>
      <c r="P40" s="23">
        <v>380</v>
      </c>
      <c r="Q40" s="23">
        <v>0</v>
      </c>
      <c r="R40" s="23">
        <v>0</v>
      </c>
      <c r="S40" s="23">
        <v>0</v>
      </c>
      <c r="T40" s="23">
        <f t="shared" si="17"/>
        <v>0</v>
      </c>
      <c r="U40" s="23">
        <v>0</v>
      </c>
      <c r="V40" s="23">
        <v>0</v>
      </c>
      <c r="W40" s="23">
        <v>0</v>
      </c>
      <c r="X40" s="23">
        <v>0</v>
      </c>
      <c r="Y40" s="23">
        <f t="shared" si="18"/>
        <v>482</v>
      </c>
      <c r="Z40" s="23">
        <v>482</v>
      </c>
      <c r="AA40" s="23">
        <v>0</v>
      </c>
      <c r="AB40" s="23">
        <v>0</v>
      </c>
      <c r="AC40" s="23">
        <v>0</v>
      </c>
      <c r="AD40" s="26">
        <f t="shared" si="19"/>
        <v>5235</v>
      </c>
    </row>
    <row r="41" spans="1:31" s="29" customFormat="1" ht="26.25" customHeight="1" x14ac:dyDescent="0.25">
      <c r="A41" s="118"/>
      <c r="B41" s="24" t="s">
        <v>101</v>
      </c>
      <c r="C41" s="118"/>
      <c r="D41" s="109"/>
      <c r="E41" s="23">
        <f t="shared" si="14"/>
        <v>0</v>
      </c>
      <c r="F41" s="23">
        <v>0</v>
      </c>
      <c r="G41" s="23">
        <v>0</v>
      </c>
      <c r="H41" s="23">
        <v>0</v>
      </c>
      <c r="I41" s="23">
        <v>0</v>
      </c>
      <c r="J41" s="27">
        <f t="shared" si="15"/>
        <v>2934</v>
      </c>
      <c r="K41" s="27">
        <f>2355+579</f>
        <v>2934</v>
      </c>
      <c r="L41" s="23">
        <v>0</v>
      </c>
      <c r="M41" s="23">
        <v>0</v>
      </c>
      <c r="N41" s="23">
        <v>0</v>
      </c>
      <c r="O41" s="23">
        <f t="shared" si="16"/>
        <v>221</v>
      </c>
      <c r="P41" s="23">
        <v>221</v>
      </c>
      <c r="Q41" s="23">
        <v>0</v>
      </c>
      <c r="R41" s="23">
        <v>0</v>
      </c>
      <c r="S41" s="23">
        <v>0</v>
      </c>
      <c r="T41" s="23">
        <f t="shared" si="17"/>
        <v>0</v>
      </c>
      <c r="U41" s="23">
        <v>0</v>
      </c>
      <c r="V41" s="23">
        <v>0</v>
      </c>
      <c r="W41" s="23">
        <v>0</v>
      </c>
      <c r="X41" s="23">
        <v>0</v>
      </c>
      <c r="Y41" s="23">
        <f t="shared" si="18"/>
        <v>1343</v>
      </c>
      <c r="Z41" s="23">
        <v>1343</v>
      </c>
      <c r="AA41" s="23">
        <v>0</v>
      </c>
      <c r="AB41" s="23">
        <v>0</v>
      </c>
      <c r="AC41" s="23">
        <v>0</v>
      </c>
      <c r="AD41" s="26">
        <f t="shared" si="19"/>
        <v>4498</v>
      </c>
    </row>
    <row r="42" spans="1:31" s="29" customFormat="1" ht="26.25" customHeight="1" x14ac:dyDescent="0.25">
      <c r="A42" s="118"/>
      <c r="B42" s="24" t="s">
        <v>102</v>
      </c>
      <c r="C42" s="118"/>
      <c r="D42" s="109"/>
      <c r="E42" s="23">
        <f t="shared" si="14"/>
        <v>396</v>
      </c>
      <c r="F42" s="23">
        <f>282+114</f>
        <v>396</v>
      </c>
      <c r="G42" s="23">
        <v>0</v>
      </c>
      <c r="H42" s="23">
        <v>0</v>
      </c>
      <c r="I42" s="23">
        <v>0</v>
      </c>
      <c r="J42" s="27">
        <f t="shared" si="15"/>
        <v>164</v>
      </c>
      <c r="K42" s="27">
        <v>164</v>
      </c>
      <c r="L42" s="23">
        <v>0</v>
      </c>
      <c r="M42" s="23">
        <v>0</v>
      </c>
      <c r="N42" s="23">
        <v>0</v>
      </c>
      <c r="O42" s="23">
        <f t="shared" si="16"/>
        <v>0</v>
      </c>
      <c r="P42" s="23">
        <v>0</v>
      </c>
      <c r="Q42" s="23">
        <v>0</v>
      </c>
      <c r="R42" s="23">
        <v>0</v>
      </c>
      <c r="S42" s="23">
        <v>0</v>
      </c>
      <c r="T42" s="23">
        <f t="shared" si="17"/>
        <v>0</v>
      </c>
      <c r="U42" s="23">
        <v>0</v>
      </c>
      <c r="V42" s="23">
        <v>0</v>
      </c>
      <c r="W42" s="23">
        <v>0</v>
      </c>
      <c r="X42" s="23">
        <v>0</v>
      </c>
      <c r="Y42" s="23">
        <f t="shared" si="18"/>
        <v>0</v>
      </c>
      <c r="Z42" s="23">
        <v>0</v>
      </c>
      <c r="AA42" s="23">
        <v>0</v>
      </c>
      <c r="AB42" s="23">
        <v>0</v>
      </c>
      <c r="AC42" s="23">
        <v>0</v>
      </c>
      <c r="AD42" s="26">
        <f t="shared" si="19"/>
        <v>560</v>
      </c>
    </row>
    <row r="43" spans="1:31" s="29" customFormat="1" ht="26.25" customHeight="1" x14ac:dyDescent="0.25">
      <c r="A43" s="118"/>
      <c r="B43" s="24" t="s">
        <v>103</v>
      </c>
      <c r="C43" s="118"/>
      <c r="D43" s="109"/>
      <c r="E43" s="23">
        <f t="shared" si="14"/>
        <v>96</v>
      </c>
      <c r="F43" s="23">
        <v>96</v>
      </c>
      <c r="G43" s="23">
        <v>0</v>
      </c>
      <c r="H43" s="23">
        <v>0</v>
      </c>
      <c r="I43" s="23">
        <v>0</v>
      </c>
      <c r="J43" s="23">
        <f t="shared" si="15"/>
        <v>756</v>
      </c>
      <c r="K43" s="23">
        <v>756</v>
      </c>
      <c r="L43" s="23">
        <v>0</v>
      </c>
      <c r="M43" s="23">
        <v>0</v>
      </c>
      <c r="N43" s="23">
        <v>0</v>
      </c>
      <c r="O43" s="23">
        <f t="shared" si="16"/>
        <v>4948</v>
      </c>
      <c r="P43" s="23">
        <f>344+4604</f>
        <v>4948</v>
      </c>
      <c r="Q43" s="23">
        <v>0</v>
      </c>
      <c r="R43" s="23">
        <v>0</v>
      </c>
      <c r="S43" s="23">
        <v>0</v>
      </c>
      <c r="T43" s="23">
        <f t="shared" si="17"/>
        <v>0</v>
      </c>
      <c r="U43" s="23">
        <v>0</v>
      </c>
      <c r="V43" s="23">
        <v>0</v>
      </c>
      <c r="W43" s="23">
        <v>0</v>
      </c>
      <c r="X43" s="23">
        <v>0</v>
      </c>
      <c r="Y43" s="23">
        <f t="shared" si="18"/>
        <v>361</v>
      </c>
      <c r="Z43" s="23">
        <v>361</v>
      </c>
      <c r="AA43" s="23">
        <v>0</v>
      </c>
      <c r="AB43" s="23">
        <v>0</v>
      </c>
      <c r="AC43" s="23">
        <v>0</v>
      </c>
      <c r="AD43" s="26">
        <f t="shared" si="19"/>
        <v>6161</v>
      </c>
    </row>
    <row r="44" spans="1:31" s="29" customFormat="1" ht="26.25" customHeight="1" x14ac:dyDescent="0.25">
      <c r="A44" s="118"/>
      <c r="B44" s="24" t="s">
        <v>104</v>
      </c>
      <c r="C44" s="118"/>
      <c r="D44" s="109"/>
      <c r="E44" s="23">
        <f t="shared" si="14"/>
        <v>488</v>
      </c>
      <c r="F44" s="23">
        <v>488</v>
      </c>
      <c r="G44" s="23">
        <v>0</v>
      </c>
      <c r="H44" s="23">
        <v>0</v>
      </c>
      <c r="I44" s="23">
        <v>0</v>
      </c>
      <c r="J44" s="23">
        <f t="shared" si="15"/>
        <v>96</v>
      </c>
      <c r="K44" s="23">
        <v>96</v>
      </c>
      <c r="L44" s="23">
        <v>0</v>
      </c>
      <c r="M44" s="23">
        <v>0</v>
      </c>
      <c r="N44" s="23">
        <v>0</v>
      </c>
      <c r="O44" s="23">
        <f t="shared" si="16"/>
        <v>791</v>
      </c>
      <c r="P44" s="23">
        <v>791</v>
      </c>
      <c r="Q44" s="23">
        <v>0</v>
      </c>
      <c r="R44" s="23">
        <v>0</v>
      </c>
      <c r="S44" s="23">
        <v>0</v>
      </c>
      <c r="T44" s="23">
        <f t="shared" si="17"/>
        <v>0</v>
      </c>
      <c r="U44" s="23">
        <v>0</v>
      </c>
      <c r="V44" s="23">
        <v>0</v>
      </c>
      <c r="W44" s="23">
        <v>0</v>
      </c>
      <c r="X44" s="23">
        <v>0</v>
      </c>
      <c r="Y44" s="23">
        <f t="shared" si="18"/>
        <v>0</v>
      </c>
      <c r="Z44" s="23">
        <v>0</v>
      </c>
      <c r="AA44" s="23">
        <v>0</v>
      </c>
      <c r="AB44" s="23">
        <v>0</v>
      </c>
      <c r="AC44" s="23">
        <v>0</v>
      </c>
      <c r="AD44" s="26">
        <f t="shared" si="19"/>
        <v>1375</v>
      </c>
    </row>
    <row r="45" spans="1:31" s="29" customFormat="1" ht="26.25" customHeight="1" x14ac:dyDescent="0.25">
      <c r="A45" s="118"/>
      <c r="B45" s="24" t="s">
        <v>105</v>
      </c>
      <c r="C45" s="118"/>
      <c r="D45" s="109"/>
      <c r="E45" s="23">
        <f t="shared" si="14"/>
        <v>0</v>
      </c>
      <c r="F45" s="23">
        <v>0</v>
      </c>
      <c r="G45" s="23">
        <v>0</v>
      </c>
      <c r="H45" s="23">
        <v>0</v>
      </c>
      <c r="I45" s="23">
        <v>0</v>
      </c>
      <c r="J45" s="23">
        <f t="shared" si="15"/>
        <v>2011</v>
      </c>
      <c r="K45" s="23">
        <f>1671+340</f>
        <v>2011</v>
      </c>
      <c r="L45" s="23">
        <v>0</v>
      </c>
      <c r="M45" s="23">
        <v>0</v>
      </c>
      <c r="N45" s="23">
        <v>0</v>
      </c>
      <c r="O45" s="23">
        <f t="shared" si="16"/>
        <v>0</v>
      </c>
      <c r="P45" s="23">
        <v>0</v>
      </c>
      <c r="Q45" s="23">
        <v>0</v>
      </c>
      <c r="R45" s="23">
        <v>0</v>
      </c>
      <c r="S45" s="23">
        <v>0</v>
      </c>
      <c r="T45" s="23">
        <f t="shared" si="17"/>
        <v>0</v>
      </c>
      <c r="U45" s="23">
        <v>0</v>
      </c>
      <c r="V45" s="23">
        <v>0</v>
      </c>
      <c r="W45" s="23">
        <v>0</v>
      </c>
      <c r="X45" s="23">
        <v>0</v>
      </c>
      <c r="Y45" s="23">
        <f t="shared" si="18"/>
        <v>0</v>
      </c>
      <c r="Z45" s="23">
        <v>0</v>
      </c>
      <c r="AA45" s="23">
        <v>0</v>
      </c>
      <c r="AB45" s="23">
        <v>0</v>
      </c>
      <c r="AC45" s="23">
        <v>0</v>
      </c>
      <c r="AD45" s="26">
        <f t="shared" si="19"/>
        <v>2011</v>
      </c>
    </row>
    <row r="46" spans="1:31" s="29" customFormat="1" ht="19.5" customHeight="1" x14ac:dyDescent="0.25">
      <c r="A46" s="118"/>
      <c r="B46" s="24" t="s">
        <v>106</v>
      </c>
      <c r="C46" s="118"/>
      <c r="D46" s="109"/>
      <c r="E46" s="23">
        <f t="shared" si="14"/>
        <v>355</v>
      </c>
      <c r="F46" s="23">
        <f>211+144</f>
        <v>355</v>
      </c>
      <c r="G46" s="23">
        <v>0</v>
      </c>
      <c r="H46" s="23">
        <v>0</v>
      </c>
      <c r="I46" s="23">
        <v>0</v>
      </c>
      <c r="J46" s="27">
        <f t="shared" si="15"/>
        <v>2238</v>
      </c>
      <c r="K46" s="27">
        <f>1516+493+229</f>
        <v>2238</v>
      </c>
      <c r="L46" s="23">
        <v>0</v>
      </c>
      <c r="M46" s="23">
        <v>0</v>
      </c>
      <c r="N46" s="23">
        <v>0</v>
      </c>
      <c r="O46" s="23">
        <f t="shared" si="16"/>
        <v>1158</v>
      </c>
      <c r="P46" s="23">
        <v>1158</v>
      </c>
      <c r="Q46" s="23">
        <v>0</v>
      </c>
      <c r="R46" s="23">
        <v>0</v>
      </c>
      <c r="S46" s="23">
        <v>0</v>
      </c>
      <c r="T46" s="23">
        <f t="shared" si="17"/>
        <v>0</v>
      </c>
      <c r="U46" s="23">
        <v>0</v>
      </c>
      <c r="V46" s="23">
        <v>0</v>
      </c>
      <c r="W46" s="23">
        <v>0</v>
      </c>
      <c r="X46" s="23">
        <v>0</v>
      </c>
      <c r="Y46" s="23">
        <f t="shared" si="18"/>
        <v>0</v>
      </c>
      <c r="Z46" s="23">
        <v>0</v>
      </c>
      <c r="AA46" s="23">
        <v>0</v>
      </c>
      <c r="AB46" s="23">
        <v>0</v>
      </c>
      <c r="AC46" s="23">
        <v>0</v>
      </c>
      <c r="AD46" s="26">
        <f t="shared" si="19"/>
        <v>3751</v>
      </c>
    </row>
    <row r="47" spans="1:31" s="29" customFormat="1" ht="19.5" customHeight="1" x14ac:dyDescent="0.25">
      <c r="A47" s="119"/>
      <c r="B47" s="24" t="s">
        <v>131</v>
      </c>
      <c r="C47" s="121"/>
      <c r="D47" s="109"/>
      <c r="E47" s="23">
        <f t="shared" si="14"/>
        <v>454</v>
      </c>
      <c r="F47" s="23">
        <f>200+254</f>
        <v>454</v>
      </c>
      <c r="G47" s="23">
        <v>0</v>
      </c>
      <c r="H47" s="23">
        <v>0</v>
      </c>
      <c r="I47" s="23">
        <v>0</v>
      </c>
      <c r="J47" s="27">
        <f t="shared" si="15"/>
        <v>50</v>
      </c>
      <c r="K47" s="27">
        <v>50</v>
      </c>
      <c r="L47" s="23">
        <v>0</v>
      </c>
      <c r="M47" s="23">
        <v>0</v>
      </c>
      <c r="N47" s="23">
        <v>0</v>
      </c>
      <c r="O47" s="23">
        <f t="shared" si="16"/>
        <v>0</v>
      </c>
      <c r="P47" s="23">
        <v>0</v>
      </c>
      <c r="Q47" s="23">
        <v>0</v>
      </c>
      <c r="R47" s="23">
        <v>0</v>
      </c>
      <c r="S47" s="23">
        <v>0</v>
      </c>
      <c r="T47" s="23">
        <f t="shared" si="17"/>
        <v>0</v>
      </c>
      <c r="U47" s="23">
        <v>0</v>
      </c>
      <c r="V47" s="23">
        <v>0</v>
      </c>
      <c r="W47" s="23">
        <v>0</v>
      </c>
      <c r="X47" s="23">
        <v>0</v>
      </c>
      <c r="Y47" s="23">
        <f t="shared" si="18"/>
        <v>0</v>
      </c>
      <c r="Z47" s="23">
        <v>0</v>
      </c>
      <c r="AA47" s="23">
        <v>0</v>
      </c>
      <c r="AB47" s="23">
        <v>0</v>
      </c>
      <c r="AC47" s="23">
        <v>0</v>
      </c>
      <c r="AD47" s="26">
        <f t="shared" si="19"/>
        <v>504</v>
      </c>
    </row>
    <row r="48" spans="1:31" s="29" customFormat="1" ht="19.5" customHeight="1" x14ac:dyDescent="0.25">
      <c r="A48" s="120"/>
      <c r="B48" s="24" t="s">
        <v>143</v>
      </c>
      <c r="C48" s="122"/>
      <c r="D48" s="110"/>
      <c r="E48" s="23">
        <v>0</v>
      </c>
      <c r="F48" s="23">
        <v>0</v>
      </c>
      <c r="G48" s="23">
        <v>0</v>
      </c>
      <c r="H48" s="23">
        <v>0</v>
      </c>
      <c r="I48" s="23">
        <v>0</v>
      </c>
      <c r="J48" s="23">
        <f t="shared" si="15"/>
        <v>181</v>
      </c>
      <c r="K48" s="23">
        <v>181</v>
      </c>
      <c r="L48" s="23">
        <v>0</v>
      </c>
      <c r="M48" s="23">
        <v>0</v>
      </c>
      <c r="N48" s="23">
        <v>0</v>
      </c>
      <c r="O48" s="23">
        <f t="shared" si="16"/>
        <v>0</v>
      </c>
      <c r="P48" s="23">
        <v>0</v>
      </c>
      <c r="Q48" s="23">
        <v>0</v>
      </c>
      <c r="R48" s="23">
        <v>0</v>
      </c>
      <c r="S48" s="23">
        <v>0</v>
      </c>
      <c r="T48" s="23">
        <f t="shared" si="17"/>
        <v>0</v>
      </c>
      <c r="U48" s="23">
        <v>0</v>
      </c>
      <c r="V48" s="23">
        <v>0</v>
      </c>
      <c r="W48" s="23">
        <v>0</v>
      </c>
      <c r="X48" s="23">
        <v>0</v>
      </c>
      <c r="Y48" s="23">
        <f t="shared" si="18"/>
        <v>0</v>
      </c>
      <c r="Z48" s="23">
        <v>0</v>
      </c>
      <c r="AA48" s="23">
        <v>0</v>
      </c>
      <c r="AB48" s="23">
        <v>0</v>
      </c>
      <c r="AC48" s="23">
        <v>0</v>
      </c>
      <c r="AD48" s="26">
        <f t="shared" si="19"/>
        <v>181</v>
      </c>
    </row>
    <row r="49" spans="1:31" s="29" customFormat="1" ht="93.75" customHeight="1" x14ac:dyDescent="0.25">
      <c r="A49" s="116" t="s">
        <v>11</v>
      </c>
      <c r="B49" s="24" t="s">
        <v>139</v>
      </c>
      <c r="C49" s="116" t="s">
        <v>179</v>
      </c>
      <c r="D49" s="108" t="s">
        <v>62</v>
      </c>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6"/>
    </row>
    <row r="50" spans="1:31" s="1" customFormat="1" ht="26.25" customHeight="1" x14ac:dyDescent="0.25">
      <c r="A50" s="118"/>
      <c r="B50" s="24" t="s">
        <v>108</v>
      </c>
      <c r="C50" s="118"/>
      <c r="D50" s="109"/>
      <c r="E50" s="23">
        <f t="shared" ref="E50:E62" si="20">F50+G50+H50+I50</f>
        <v>2865</v>
      </c>
      <c r="F50" s="23">
        <f>2953-88</f>
        <v>2865</v>
      </c>
      <c r="G50" s="23">
        <v>0</v>
      </c>
      <c r="H50" s="23">
        <v>0</v>
      </c>
      <c r="I50" s="23">
        <v>0</v>
      </c>
      <c r="J50" s="23">
        <v>3597</v>
      </c>
      <c r="K50" s="23">
        <v>3597</v>
      </c>
      <c r="L50" s="23">
        <v>0</v>
      </c>
      <c r="M50" s="23">
        <v>0</v>
      </c>
      <c r="N50" s="23">
        <v>0</v>
      </c>
      <c r="O50" s="23">
        <f t="shared" ref="O50:O62" si="21">P50+Q50+R50+S50</f>
        <v>0</v>
      </c>
      <c r="P50" s="23">
        <v>0</v>
      </c>
      <c r="Q50" s="23">
        <v>0</v>
      </c>
      <c r="R50" s="23">
        <v>0</v>
      </c>
      <c r="S50" s="23">
        <v>0</v>
      </c>
      <c r="T50" s="23">
        <f t="shared" ref="T50:T62" si="22">U50+V50+W50+X50</f>
        <v>0</v>
      </c>
      <c r="U50" s="23">
        <v>0</v>
      </c>
      <c r="V50" s="23">
        <v>0</v>
      </c>
      <c r="W50" s="23">
        <v>0</v>
      </c>
      <c r="X50" s="23">
        <v>0</v>
      </c>
      <c r="Y50" s="23">
        <f>Z50+AA50+AB50+AC50</f>
        <v>0</v>
      </c>
      <c r="Z50" s="23">
        <v>0</v>
      </c>
      <c r="AA50" s="23">
        <v>0</v>
      </c>
      <c r="AB50" s="23">
        <v>0</v>
      </c>
      <c r="AC50" s="23">
        <v>0</v>
      </c>
      <c r="AD50" s="26">
        <f t="shared" ref="AD50:AD62" si="23">SUM(Y50,T50,O50,J50,E50)</f>
        <v>6462</v>
      </c>
      <c r="AE50" s="21"/>
    </row>
    <row r="51" spans="1:31" s="1" customFormat="1" ht="26.25" customHeight="1" x14ac:dyDescent="0.25">
      <c r="A51" s="118"/>
      <c r="B51" s="24" t="s">
        <v>109</v>
      </c>
      <c r="C51" s="118"/>
      <c r="D51" s="109"/>
      <c r="E51" s="23">
        <f t="shared" si="20"/>
        <v>114</v>
      </c>
      <c r="F51" s="23">
        <v>114</v>
      </c>
      <c r="G51" s="23">
        <v>0</v>
      </c>
      <c r="H51" s="23">
        <v>0</v>
      </c>
      <c r="I51" s="23">
        <v>0</v>
      </c>
      <c r="J51" s="27">
        <f t="shared" ref="J51:J62" si="24">K51+L51+M51+N51</f>
        <v>1545</v>
      </c>
      <c r="K51" s="27">
        <f>904+641</f>
        <v>1545</v>
      </c>
      <c r="L51" s="23">
        <v>0</v>
      </c>
      <c r="M51" s="23">
        <v>0</v>
      </c>
      <c r="N51" s="23">
        <v>0</v>
      </c>
      <c r="O51" s="23">
        <f t="shared" si="21"/>
        <v>170</v>
      </c>
      <c r="P51" s="23">
        <v>170</v>
      </c>
      <c r="Q51" s="23">
        <v>0</v>
      </c>
      <c r="R51" s="23">
        <v>0</v>
      </c>
      <c r="S51" s="23">
        <v>0</v>
      </c>
      <c r="T51" s="23">
        <f t="shared" si="22"/>
        <v>2999</v>
      </c>
      <c r="U51" s="23">
        <v>2999</v>
      </c>
      <c r="V51" s="23">
        <v>0</v>
      </c>
      <c r="W51" s="23">
        <v>0</v>
      </c>
      <c r="X51" s="23">
        <v>0</v>
      </c>
      <c r="Y51" s="23">
        <v>0</v>
      </c>
      <c r="Z51" s="23">
        <v>0</v>
      </c>
      <c r="AA51" s="23">
        <v>0</v>
      </c>
      <c r="AB51" s="23">
        <v>0</v>
      </c>
      <c r="AC51" s="23">
        <v>0</v>
      </c>
      <c r="AD51" s="26">
        <f t="shared" si="23"/>
        <v>4828</v>
      </c>
      <c r="AE51" s="22"/>
    </row>
    <row r="52" spans="1:31" s="1" customFormat="1" ht="26.25" customHeight="1" x14ac:dyDescent="0.25">
      <c r="A52" s="118"/>
      <c r="B52" s="24" t="s">
        <v>110</v>
      </c>
      <c r="C52" s="118"/>
      <c r="D52" s="109"/>
      <c r="E52" s="23">
        <f t="shared" si="20"/>
        <v>3606</v>
      </c>
      <c r="F52" s="23">
        <f>3668-62</f>
        <v>3606</v>
      </c>
      <c r="G52" s="23">
        <v>0</v>
      </c>
      <c r="H52" s="23">
        <v>0</v>
      </c>
      <c r="I52" s="23">
        <v>0</v>
      </c>
      <c r="J52" s="27">
        <f t="shared" si="24"/>
        <v>15749</v>
      </c>
      <c r="K52" s="27">
        <f>293+15456</f>
        <v>15749</v>
      </c>
      <c r="L52" s="23">
        <v>0</v>
      </c>
      <c r="M52" s="23">
        <v>0</v>
      </c>
      <c r="N52" s="23">
        <v>0</v>
      </c>
      <c r="O52" s="27">
        <f t="shared" si="21"/>
        <v>4105</v>
      </c>
      <c r="P52" s="27">
        <f>853+3252</f>
        <v>4105</v>
      </c>
      <c r="Q52" s="23">
        <v>0</v>
      </c>
      <c r="R52" s="23">
        <v>0</v>
      </c>
      <c r="S52" s="23">
        <v>0</v>
      </c>
      <c r="T52" s="23">
        <f t="shared" si="22"/>
        <v>0</v>
      </c>
      <c r="U52" s="23">
        <v>0</v>
      </c>
      <c r="V52" s="23">
        <v>0</v>
      </c>
      <c r="W52" s="23">
        <v>0</v>
      </c>
      <c r="X52" s="23">
        <v>0</v>
      </c>
      <c r="Y52" s="23">
        <f t="shared" ref="Y52:Y61" si="25">Z52+AA52+AB52+AC52</f>
        <v>0</v>
      </c>
      <c r="Z52" s="23">
        <v>0</v>
      </c>
      <c r="AA52" s="23">
        <v>0</v>
      </c>
      <c r="AB52" s="23">
        <v>0</v>
      </c>
      <c r="AC52" s="23">
        <v>0</v>
      </c>
      <c r="AD52" s="26">
        <f t="shared" si="23"/>
        <v>23460</v>
      </c>
      <c r="AE52" s="21"/>
    </row>
    <row r="53" spans="1:31" s="1" customFormat="1" ht="26.25" customHeight="1" x14ac:dyDescent="0.25">
      <c r="A53" s="118"/>
      <c r="B53" s="24" t="s">
        <v>111</v>
      </c>
      <c r="C53" s="118"/>
      <c r="D53" s="109"/>
      <c r="E53" s="23">
        <f t="shared" si="20"/>
        <v>836</v>
      </c>
      <c r="F53" s="23">
        <f>612+224</f>
        <v>836</v>
      </c>
      <c r="G53" s="23">
        <v>0</v>
      </c>
      <c r="H53" s="23">
        <v>0</v>
      </c>
      <c r="I53" s="23">
        <v>0</v>
      </c>
      <c r="J53" s="23">
        <f t="shared" si="24"/>
        <v>930</v>
      </c>
      <c r="K53" s="23">
        <f>98+411+421</f>
        <v>930</v>
      </c>
      <c r="L53" s="23">
        <v>0</v>
      </c>
      <c r="M53" s="23">
        <v>0</v>
      </c>
      <c r="N53" s="23">
        <v>0</v>
      </c>
      <c r="O53" s="23">
        <f t="shared" si="21"/>
        <v>0</v>
      </c>
      <c r="P53" s="23">
        <v>0</v>
      </c>
      <c r="Q53" s="23">
        <v>0</v>
      </c>
      <c r="R53" s="23">
        <v>0</v>
      </c>
      <c r="S53" s="23">
        <v>0</v>
      </c>
      <c r="T53" s="23">
        <f t="shared" si="22"/>
        <v>0</v>
      </c>
      <c r="U53" s="23">
        <v>0</v>
      </c>
      <c r="V53" s="23">
        <v>0</v>
      </c>
      <c r="W53" s="23">
        <v>0</v>
      </c>
      <c r="X53" s="23">
        <v>0</v>
      </c>
      <c r="Y53" s="23">
        <f t="shared" si="25"/>
        <v>1068</v>
      </c>
      <c r="Z53" s="23">
        <v>1068</v>
      </c>
      <c r="AA53" s="23">
        <v>0</v>
      </c>
      <c r="AB53" s="23">
        <v>0</v>
      </c>
      <c r="AC53" s="23">
        <v>0</v>
      </c>
      <c r="AD53" s="26">
        <f t="shared" si="23"/>
        <v>2834</v>
      </c>
      <c r="AE53" s="21"/>
    </row>
    <row r="54" spans="1:31" s="1" customFormat="1" ht="26.25" customHeight="1" x14ac:dyDescent="0.25">
      <c r="A54" s="118"/>
      <c r="B54" s="24" t="s">
        <v>112</v>
      </c>
      <c r="C54" s="118"/>
      <c r="D54" s="109"/>
      <c r="E54" s="23">
        <f t="shared" si="20"/>
        <v>649</v>
      </c>
      <c r="F54" s="23">
        <f>229+420</f>
        <v>649</v>
      </c>
      <c r="G54" s="23">
        <v>0</v>
      </c>
      <c r="H54" s="23">
        <v>0</v>
      </c>
      <c r="I54" s="23">
        <v>0</v>
      </c>
      <c r="J54" s="23">
        <f t="shared" si="24"/>
        <v>0</v>
      </c>
      <c r="K54" s="23">
        <v>0</v>
      </c>
      <c r="L54" s="23">
        <v>0</v>
      </c>
      <c r="M54" s="23">
        <v>0</v>
      </c>
      <c r="N54" s="23">
        <v>0</v>
      </c>
      <c r="O54" s="23">
        <f t="shared" si="21"/>
        <v>0</v>
      </c>
      <c r="P54" s="23">
        <v>0</v>
      </c>
      <c r="Q54" s="23">
        <v>0</v>
      </c>
      <c r="R54" s="23">
        <v>0</v>
      </c>
      <c r="S54" s="23">
        <v>0</v>
      </c>
      <c r="T54" s="23">
        <f t="shared" si="22"/>
        <v>0</v>
      </c>
      <c r="U54" s="23">
        <v>0</v>
      </c>
      <c r="V54" s="23">
        <v>0</v>
      </c>
      <c r="W54" s="23">
        <v>0</v>
      </c>
      <c r="X54" s="23">
        <v>0</v>
      </c>
      <c r="Y54" s="23">
        <f t="shared" si="25"/>
        <v>0</v>
      </c>
      <c r="Z54" s="23">
        <v>0</v>
      </c>
      <c r="AA54" s="23">
        <v>0</v>
      </c>
      <c r="AB54" s="23">
        <v>0</v>
      </c>
      <c r="AC54" s="23">
        <v>0</v>
      </c>
      <c r="AD54" s="26">
        <f t="shared" si="23"/>
        <v>649</v>
      </c>
      <c r="AE54" s="21"/>
    </row>
    <row r="55" spans="1:31" s="29" customFormat="1" ht="26.25" customHeight="1" x14ac:dyDescent="0.25">
      <c r="A55" s="118"/>
      <c r="B55" s="24" t="s">
        <v>113</v>
      </c>
      <c r="C55" s="118"/>
      <c r="D55" s="109"/>
      <c r="E55" s="23">
        <f t="shared" si="20"/>
        <v>184</v>
      </c>
      <c r="F55" s="23">
        <f>224-47+7</f>
        <v>184</v>
      </c>
      <c r="G55" s="23">
        <v>0</v>
      </c>
      <c r="H55" s="23">
        <v>0</v>
      </c>
      <c r="I55" s="23">
        <v>0</v>
      </c>
      <c r="J55" s="23">
        <f t="shared" si="24"/>
        <v>0</v>
      </c>
      <c r="K55" s="23">
        <v>0</v>
      </c>
      <c r="L55" s="23">
        <v>0</v>
      </c>
      <c r="M55" s="23">
        <v>0</v>
      </c>
      <c r="N55" s="23">
        <v>0</v>
      </c>
      <c r="O55" s="23">
        <f t="shared" si="21"/>
        <v>461</v>
      </c>
      <c r="P55" s="23">
        <v>461</v>
      </c>
      <c r="Q55" s="23">
        <v>0</v>
      </c>
      <c r="R55" s="23">
        <v>0</v>
      </c>
      <c r="S55" s="23">
        <v>0</v>
      </c>
      <c r="T55" s="23">
        <f t="shared" si="22"/>
        <v>0</v>
      </c>
      <c r="U55" s="23">
        <v>0</v>
      </c>
      <c r="V55" s="23">
        <v>0</v>
      </c>
      <c r="W55" s="23">
        <v>0</v>
      </c>
      <c r="X55" s="23">
        <v>0</v>
      </c>
      <c r="Y55" s="23">
        <f t="shared" si="25"/>
        <v>0</v>
      </c>
      <c r="Z55" s="23">
        <v>0</v>
      </c>
      <c r="AA55" s="23">
        <v>0</v>
      </c>
      <c r="AB55" s="23">
        <v>0</v>
      </c>
      <c r="AC55" s="23">
        <v>0</v>
      </c>
      <c r="AD55" s="26">
        <f t="shared" si="23"/>
        <v>645</v>
      </c>
    </row>
    <row r="56" spans="1:31" s="29" customFormat="1" ht="26.25" customHeight="1" x14ac:dyDescent="0.25">
      <c r="A56" s="118"/>
      <c r="B56" s="24" t="s">
        <v>114</v>
      </c>
      <c r="C56" s="118"/>
      <c r="D56" s="109"/>
      <c r="E56" s="23">
        <f t="shared" si="20"/>
        <v>2550</v>
      </c>
      <c r="F56" s="23">
        <f>3095-495-50</f>
        <v>2550</v>
      </c>
      <c r="G56" s="23">
        <v>0</v>
      </c>
      <c r="H56" s="23">
        <v>0</v>
      </c>
      <c r="I56" s="23">
        <v>0</v>
      </c>
      <c r="J56" s="27">
        <f t="shared" si="24"/>
        <v>6868</v>
      </c>
      <c r="K56" s="27">
        <f>1490+560+4818</f>
        <v>6868</v>
      </c>
      <c r="L56" s="23">
        <v>0</v>
      </c>
      <c r="M56" s="23">
        <v>0</v>
      </c>
      <c r="N56" s="23">
        <v>0</v>
      </c>
      <c r="O56" s="27">
        <f t="shared" si="21"/>
        <v>13205</v>
      </c>
      <c r="P56" s="27">
        <v>13205</v>
      </c>
      <c r="Q56" s="23">
        <v>0</v>
      </c>
      <c r="R56" s="23">
        <v>0</v>
      </c>
      <c r="S56" s="23">
        <v>0</v>
      </c>
      <c r="T56" s="23">
        <f t="shared" si="22"/>
        <v>0</v>
      </c>
      <c r="U56" s="23">
        <v>0</v>
      </c>
      <c r="V56" s="23">
        <v>0</v>
      </c>
      <c r="W56" s="23">
        <v>0</v>
      </c>
      <c r="X56" s="23">
        <v>0</v>
      </c>
      <c r="Y56" s="23">
        <f t="shared" si="25"/>
        <v>2205</v>
      </c>
      <c r="Z56" s="23">
        <v>2205</v>
      </c>
      <c r="AA56" s="23">
        <v>0</v>
      </c>
      <c r="AB56" s="23">
        <v>0</v>
      </c>
      <c r="AC56" s="23">
        <v>0</v>
      </c>
      <c r="AD56" s="26">
        <f t="shared" si="23"/>
        <v>24828</v>
      </c>
    </row>
    <row r="57" spans="1:31" s="1" customFormat="1" ht="26.25" customHeight="1" x14ac:dyDescent="0.25">
      <c r="A57" s="118"/>
      <c r="B57" s="24" t="s">
        <v>115</v>
      </c>
      <c r="C57" s="118"/>
      <c r="D57" s="109"/>
      <c r="E57" s="23">
        <f t="shared" si="20"/>
        <v>0</v>
      </c>
      <c r="F57" s="23">
        <v>0</v>
      </c>
      <c r="G57" s="23">
        <v>0</v>
      </c>
      <c r="H57" s="23">
        <v>0</v>
      </c>
      <c r="I57" s="23">
        <v>0</v>
      </c>
      <c r="J57" s="23">
        <f t="shared" si="24"/>
        <v>2815</v>
      </c>
      <c r="K57" s="23">
        <v>2815</v>
      </c>
      <c r="L57" s="23">
        <v>0</v>
      </c>
      <c r="M57" s="23">
        <v>0</v>
      </c>
      <c r="N57" s="23">
        <v>0</v>
      </c>
      <c r="O57" s="23">
        <f t="shared" si="21"/>
        <v>1017</v>
      </c>
      <c r="P57" s="23">
        <v>1017</v>
      </c>
      <c r="Q57" s="23">
        <v>0</v>
      </c>
      <c r="R57" s="23">
        <v>0</v>
      </c>
      <c r="S57" s="23">
        <v>0</v>
      </c>
      <c r="T57" s="23">
        <f t="shared" si="22"/>
        <v>0</v>
      </c>
      <c r="U57" s="23">
        <v>0</v>
      </c>
      <c r="V57" s="23">
        <v>0</v>
      </c>
      <c r="W57" s="23">
        <v>0</v>
      </c>
      <c r="X57" s="23">
        <v>0</v>
      </c>
      <c r="Y57" s="23">
        <f t="shared" si="25"/>
        <v>0</v>
      </c>
      <c r="Z57" s="23">
        <v>0</v>
      </c>
      <c r="AA57" s="23">
        <v>0</v>
      </c>
      <c r="AB57" s="23">
        <v>0</v>
      </c>
      <c r="AC57" s="23">
        <v>0</v>
      </c>
      <c r="AD57" s="26">
        <f t="shared" si="23"/>
        <v>3832</v>
      </c>
      <c r="AE57" s="21"/>
    </row>
    <row r="58" spans="1:31" s="1" customFormat="1" ht="39" customHeight="1" x14ac:dyDescent="0.25">
      <c r="A58" s="118"/>
      <c r="B58" s="24" t="s">
        <v>185</v>
      </c>
      <c r="C58" s="118"/>
      <c r="D58" s="109"/>
      <c r="E58" s="23">
        <f t="shared" si="20"/>
        <v>0</v>
      </c>
      <c r="F58" s="23">
        <v>0</v>
      </c>
      <c r="G58" s="23">
        <v>0</v>
      </c>
      <c r="H58" s="23">
        <v>0</v>
      </c>
      <c r="I58" s="23">
        <v>0</v>
      </c>
      <c r="J58" s="23">
        <f t="shared" si="24"/>
        <v>2708</v>
      </c>
      <c r="K58" s="23">
        <v>2708</v>
      </c>
      <c r="L58" s="23">
        <v>0</v>
      </c>
      <c r="M58" s="23">
        <v>0</v>
      </c>
      <c r="N58" s="23">
        <v>0</v>
      </c>
      <c r="O58" s="23">
        <f t="shared" si="21"/>
        <v>0</v>
      </c>
      <c r="P58" s="23">
        <v>0</v>
      </c>
      <c r="Q58" s="23">
        <v>0</v>
      </c>
      <c r="R58" s="23">
        <v>0</v>
      </c>
      <c r="S58" s="23">
        <v>0</v>
      </c>
      <c r="T58" s="23">
        <f t="shared" si="22"/>
        <v>0</v>
      </c>
      <c r="U58" s="23">
        <v>0</v>
      </c>
      <c r="V58" s="23">
        <v>0</v>
      </c>
      <c r="W58" s="23">
        <v>0</v>
      </c>
      <c r="X58" s="23">
        <v>0</v>
      </c>
      <c r="Y58" s="23">
        <f t="shared" si="25"/>
        <v>0</v>
      </c>
      <c r="Z58" s="23">
        <v>0</v>
      </c>
      <c r="AA58" s="23">
        <v>0</v>
      </c>
      <c r="AB58" s="23">
        <v>0</v>
      </c>
      <c r="AC58" s="23">
        <v>0</v>
      </c>
      <c r="AD58" s="26">
        <f t="shared" si="23"/>
        <v>2708</v>
      </c>
      <c r="AE58" s="22"/>
    </row>
    <row r="59" spans="1:31" s="1" customFormat="1" ht="26.25" customHeight="1" x14ac:dyDescent="0.25">
      <c r="A59" s="118"/>
      <c r="B59" s="24" t="s">
        <v>116</v>
      </c>
      <c r="C59" s="118"/>
      <c r="D59" s="109"/>
      <c r="E59" s="23">
        <f t="shared" si="20"/>
        <v>204</v>
      </c>
      <c r="F59" s="23">
        <v>204</v>
      </c>
      <c r="G59" s="23">
        <v>0</v>
      </c>
      <c r="H59" s="23">
        <v>0</v>
      </c>
      <c r="I59" s="23">
        <v>0</v>
      </c>
      <c r="J59" s="23">
        <f t="shared" si="24"/>
        <v>0</v>
      </c>
      <c r="K59" s="23">
        <v>0</v>
      </c>
      <c r="L59" s="23">
        <v>0</v>
      </c>
      <c r="M59" s="23">
        <v>0</v>
      </c>
      <c r="N59" s="23">
        <v>0</v>
      </c>
      <c r="O59" s="23">
        <f t="shared" si="21"/>
        <v>136</v>
      </c>
      <c r="P59" s="23">
        <f>12+124</f>
        <v>136</v>
      </c>
      <c r="Q59" s="23">
        <v>0</v>
      </c>
      <c r="R59" s="23">
        <v>0</v>
      </c>
      <c r="S59" s="23">
        <v>0</v>
      </c>
      <c r="T59" s="23">
        <f t="shared" si="22"/>
        <v>0</v>
      </c>
      <c r="U59" s="23">
        <v>0</v>
      </c>
      <c r="V59" s="23">
        <v>0</v>
      </c>
      <c r="W59" s="23">
        <v>0</v>
      </c>
      <c r="X59" s="23">
        <v>0</v>
      </c>
      <c r="Y59" s="23">
        <f t="shared" si="25"/>
        <v>0</v>
      </c>
      <c r="Z59" s="23">
        <v>0</v>
      </c>
      <c r="AA59" s="23">
        <v>0</v>
      </c>
      <c r="AB59" s="23">
        <v>0</v>
      </c>
      <c r="AC59" s="23">
        <v>0</v>
      </c>
      <c r="AD59" s="26">
        <f t="shared" si="23"/>
        <v>340</v>
      </c>
      <c r="AE59" s="22"/>
    </row>
    <row r="60" spans="1:31" s="29" customFormat="1" ht="25.5" customHeight="1" x14ac:dyDescent="0.25">
      <c r="A60" s="118"/>
      <c r="B60" s="24" t="s">
        <v>117</v>
      </c>
      <c r="C60" s="118"/>
      <c r="D60" s="109"/>
      <c r="E60" s="23">
        <f t="shared" si="20"/>
        <v>1206</v>
      </c>
      <c r="F60" s="23">
        <f>708+130+368</f>
        <v>1206</v>
      </c>
      <c r="G60" s="23">
        <v>0</v>
      </c>
      <c r="H60" s="23">
        <v>0</v>
      </c>
      <c r="I60" s="23">
        <v>0</v>
      </c>
      <c r="J60" s="23">
        <f t="shared" si="24"/>
        <v>1161</v>
      </c>
      <c r="K60" s="23">
        <f>930+231</f>
        <v>1161</v>
      </c>
      <c r="L60" s="23">
        <v>0</v>
      </c>
      <c r="M60" s="23">
        <v>0</v>
      </c>
      <c r="N60" s="23">
        <v>0</v>
      </c>
      <c r="O60" s="23">
        <f t="shared" si="21"/>
        <v>516</v>
      </c>
      <c r="P60" s="23">
        <v>516</v>
      </c>
      <c r="Q60" s="23">
        <v>0</v>
      </c>
      <c r="R60" s="23">
        <v>0</v>
      </c>
      <c r="S60" s="23">
        <v>0</v>
      </c>
      <c r="T60" s="23">
        <f t="shared" si="22"/>
        <v>0</v>
      </c>
      <c r="U60" s="23">
        <v>0</v>
      </c>
      <c r="V60" s="23">
        <v>0</v>
      </c>
      <c r="W60" s="23">
        <v>0</v>
      </c>
      <c r="X60" s="23">
        <v>0</v>
      </c>
      <c r="Y60" s="23">
        <f t="shared" si="25"/>
        <v>4161</v>
      </c>
      <c r="Z60" s="23">
        <f>3779+382</f>
        <v>4161</v>
      </c>
      <c r="AA60" s="23">
        <v>0</v>
      </c>
      <c r="AB60" s="23">
        <v>0</v>
      </c>
      <c r="AC60" s="23">
        <v>0</v>
      </c>
      <c r="AD60" s="26">
        <f t="shared" si="23"/>
        <v>7044</v>
      </c>
    </row>
    <row r="61" spans="1:31" s="1" customFormat="1" ht="33" customHeight="1" x14ac:dyDescent="0.25">
      <c r="A61" s="118"/>
      <c r="B61" s="24" t="s">
        <v>118</v>
      </c>
      <c r="C61" s="118"/>
      <c r="D61" s="109"/>
      <c r="E61" s="23">
        <f t="shared" si="20"/>
        <v>1231</v>
      </c>
      <c r="F61" s="23">
        <f>838+245+148</f>
        <v>1231</v>
      </c>
      <c r="G61" s="23">
        <v>0</v>
      </c>
      <c r="H61" s="23">
        <v>0</v>
      </c>
      <c r="I61" s="23">
        <v>0</v>
      </c>
      <c r="J61" s="23">
        <f t="shared" si="24"/>
        <v>3769</v>
      </c>
      <c r="K61" s="23">
        <f>166+165+80+1151+2207</f>
        <v>3769</v>
      </c>
      <c r="L61" s="23">
        <v>0</v>
      </c>
      <c r="M61" s="23">
        <v>0</v>
      </c>
      <c r="N61" s="23">
        <v>0</v>
      </c>
      <c r="O61" s="23">
        <f t="shared" si="21"/>
        <v>3658</v>
      </c>
      <c r="P61" s="23">
        <f>1983+861+814</f>
        <v>3658</v>
      </c>
      <c r="Q61" s="23">
        <v>0</v>
      </c>
      <c r="R61" s="23">
        <v>0</v>
      </c>
      <c r="S61" s="23">
        <v>0</v>
      </c>
      <c r="T61" s="23">
        <f t="shared" si="22"/>
        <v>2045</v>
      </c>
      <c r="U61" s="23">
        <f>637+670+738</f>
        <v>2045</v>
      </c>
      <c r="V61" s="23">
        <v>0</v>
      </c>
      <c r="W61" s="23">
        <v>0</v>
      </c>
      <c r="X61" s="23">
        <v>0</v>
      </c>
      <c r="Y61" s="23">
        <f t="shared" si="25"/>
        <v>485</v>
      </c>
      <c r="Z61" s="23">
        <v>485</v>
      </c>
      <c r="AA61" s="23">
        <v>0</v>
      </c>
      <c r="AB61" s="23">
        <v>0</v>
      </c>
      <c r="AC61" s="23">
        <v>0</v>
      </c>
      <c r="AD61" s="26">
        <f t="shared" si="23"/>
        <v>11188</v>
      </c>
      <c r="AE61" s="21"/>
    </row>
    <row r="62" spans="1:31" s="1" customFormat="1" ht="33" customHeight="1" x14ac:dyDescent="0.25">
      <c r="A62" s="120"/>
      <c r="B62" s="24" t="s">
        <v>141</v>
      </c>
      <c r="C62" s="122"/>
      <c r="D62" s="110"/>
      <c r="E62" s="23">
        <f t="shared" si="20"/>
        <v>3412</v>
      </c>
      <c r="F62" s="23">
        <f>2886+526</f>
        <v>3412</v>
      </c>
      <c r="G62" s="23">
        <v>0</v>
      </c>
      <c r="H62" s="23">
        <v>0</v>
      </c>
      <c r="I62" s="23">
        <v>0</v>
      </c>
      <c r="J62" s="23">
        <f t="shared" si="24"/>
        <v>0</v>
      </c>
      <c r="K62" s="23">
        <v>0</v>
      </c>
      <c r="L62" s="23">
        <v>0</v>
      </c>
      <c r="M62" s="23">
        <v>0</v>
      </c>
      <c r="N62" s="23">
        <v>0</v>
      </c>
      <c r="O62" s="23">
        <f t="shared" si="21"/>
        <v>0</v>
      </c>
      <c r="P62" s="23">
        <v>0</v>
      </c>
      <c r="Q62" s="23">
        <v>0</v>
      </c>
      <c r="R62" s="23">
        <v>0</v>
      </c>
      <c r="S62" s="23">
        <v>0</v>
      </c>
      <c r="T62" s="23">
        <f t="shared" si="22"/>
        <v>347</v>
      </c>
      <c r="U62" s="23">
        <v>347</v>
      </c>
      <c r="V62" s="23">
        <v>0</v>
      </c>
      <c r="W62" s="23">
        <v>0</v>
      </c>
      <c r="X62" s="23">
        <v>0</v>
      </c>
      <c r="Y62" s="23">
        <v>0</v>
      </c>
      <c r="Z62" s="23">
        <v>0</v>
      </c>
      <c r="AA62" s="23">
        <v>0</v>
      </c>
      <c r="AB62" s="23">
        <v>0</v>
      </c>
      <c r="AC62" s="23">
        <v>0</v>
      </c>
      <c r="AD62" s="26">
        <f t="shared" si="23"/>
        <v>3759</v>
      </c>
      <c r="AE62" s="29"/>
    </row>
    <row r="63" spans="1:31" s="8" customFormat="1" ht="88.5" customHeight="1" x14ac:dyDescent="0.25">
      <c r="A63" s="116" t="s">
        <v>25</v>
      </c>
      <c r="B63" s="31" t="s">
        <v>120</v>
      </c>
      <c r="C63" s="105" t="s">
        <v>129</v>
      </c>
      <c r="D63" s="108" t="s">
        <v>62</v>
      </c>
      <c r="E63" s="23"/>
      <c r="F63" s="26"/>
      <c r="G63" s="26"/>
      <c r="H63" s="26"/>
      <c r="I63" s="26"/>
      <c r="J63" s="23"/>
      <c r="K63" s="26"/>
      <c r="L63" s="26"/>
      <c r="M63" s="26"/>
      <c r="N63" s="26"/>
      <c r="O63" s="23"/>
      <c r="P63" s="23"/>
      <c r="Q63" s="23"/>
      <c r="R63" s="23"/>
      <c r="S63" s="23"/>
      <c r="T63" s="23"/>
      <c r="U63" s="23"/>
      <c r="V63" s="23"/>
      <c r="W63" s="23"/>
      <c r="X63" s="23"/>
      <c r="Y63" s="23"/>
      <c r="Z63" s="26"/>
      <c r="AA63" s="26"/>
      <c r="AB63" s="26"/>
      <c r="AC63" s="26"/>
      <c r="AD63" s="26"/>
    </row>
    <row r="64" spans="1:31" s="8" customFormat="1" ht="27.75" customHeight="1" x14ac:dyDescent="0.25">
      <c r="A64" s="118"/>
      <c r="B64" s="31" t="s">
        <v>119</v>
      </c>
      <c r="C64" s="106"/>
      <c r="D64" s="109"/>
      <c r="E64" s="23">
        <f t="shared" ref="E64:E74" si="26">F64+G64+H64+I64</f>
        <v>0</v>
      </c>
      <c r="F64" s="26">
        <v>0</v>
      </c>
      <c r="G64" s="26">
        <v>0</v>
      </c>
      <c r="H64" s="26">
        <v>0</v>
      </c>
      <c r="I64" s="26">
        <v>0</v>
      </c>
      <c r="J64" s="23">
        <f t="shared" ref="J64:J72" si="27">K64+L64+M64+N64</f>
        <v>0</v>
      </c>
      <c r="K64" s="26">
        <v>0</v>
      </c>
      <c r="L64" s="26">
        <v>0</v>
      </c>
      <c r="M64" s="26">
        <v>0</v>
      </c>
      <c r="N64" s="26">
        <v>0</v>
      </c>
      <c r="O64" s="23">
        <f t="shared" ref="O64:O71" si="28">P64+Q64+R64+S64</f>
        <v>406</v>
      </c>
      <c r="P64" s="23">
        <v>406</v>
      </c>
      <c r="Q64" s="23">
        <v>0</v>
      </c>
      <c r="R64" s="23">
        <v>0</v>
      </c>
      <c r="S64" s="23">
        <v>0</v>
      </c>
      <c r="T64" s="23">
        <f t="shared" ref="T64:T71" si="29">U64+V64+W64+X64</f>
        <v>0</v>
      </c>
      <c r="U64" s="23">
        <v>0</v>
      </c>
      <c r="V64" s="23">
        <v>0</v>
      </c>
      <c r="W64" s="23">
        <v>0</v>
      </c>
      <c r="X64" s="23">
        <v>0</v>
      </c>
      <c r="Y64" s="23">
        <f t="shared" ref="Y64:Y71" si="30">Z64+AA64+AB64+AC64</f>
        <v>0</v>
      </c>
      <c r="Z64" s="26">
        <v>0</v>
      </c>
      <c r="AA64" s="26">
        <v>0</v>
      </c>
      <c r="AB64" s="26">
        <v>0</v>
      </c>
      <c r="AC64" s="26">
        <v>0</v>
      </c>
      <c r="AD64" s="26">
        <f t="shared" ref="AD64:AD74" si="31">SUM(Y64,T64,O64,J64,E64)</f>
        <v>406</v>
      </c>
    </row>
    <row r="65" spans="1:31" s="8" customFormat="1" ht="28.5" customHeight="1" x14ac:dyDescent="0.25">
      <c r="A65" s="118"/>
      <c r="B65" s="31" t="s">
        <v>103</v>
      </c>
      <c r="C65" s="106"/>
      <c r="D65" s="109"/>
      <c r="E65" s="23">
        <f t="shared" si="26"/>
        <v>190</v>
      </c>
      <c r="F65" s="26">
        <f>255-65</f>
        <v>190</v>
      </c>
      <c r="G65" s="26">
        <v>0</v>
      </c>
      <c r="H65" s="26">
        <v>0</v>
      </c>
      <c r="I65" s="26">
        <v>0</v>
      </c>
      <c r="J65" s="23">
        <f t="shared" si="27"/>
        <v>1762</v>
      </c>
      <c r="K65" s="26">
        <v>1762</v>
      </c>
      <c r="L65" s="26">
        <v>0</v>
      </c>
      <c r="M65" s="26">
        <v>0</v>
      </c>
      <c r="N65" s="26">
        <v>0</v>
      </c>
      <c r="O65" s="23">
        <f t="shared" si="28"/>
        <v>0</v>
      </c>
      <c r="P65" s="23">
        <v>0</v>
      </c>
      <c r="Q65" s="23">
        <v>0</v>
      </c>
      <c r="R65" s="23">
        <v>0</v>
      </c>
      <c r="S65" s="23">
        <v>0</v>
      </c>
      <c r="T65" s="23">
        <f t="shared" si="29"/>
        <v>0</v>
      </c>
      <c r="U65" s="23">
        <v>0</v>
      </c>
      <c r="V65" s="23">
        <v>0</v>
      </c>
      <c r="W65" s="23">
        <v>0</v>
      </c>
      <c r="X65" s="23">
        <v>0</v>
      </c>
      <c r="Y65" s="23">
        <f t="shared" si="30"/>
        <v>0</v>
      </c>
      <c r="Z65" s="26">
        <v>0</v>
      </c>
      <c r="AA65" s="26">
        <v>0</v>
      </c>
      <c r="AB65" s="26">
        <v>0</v>
      </c>
      <c r="AC65" s="26">
        <v>0</v>
      </c>
      <c r="AD65" s="26">
        <f t="shared" si="31"/>
        <v>1952</v>
      </c>
    </row>
    <row r="66" spans="1:31" s="8" customFormat="1" ht="30" customHeight="1" x14ac:dyDescent="0.25">
      <c r="A66" s="118"/>
      <c r="B66" s="31" t="s">
        <v>99</v>
      </c>
      <c r="C66" s="106"/>
      <c r="D66" s="109"/>
      <c r="E66" s="23">
        <f t="shared" si="26"/>
        <v>0</v>
      </c>
      <c r="F66" s="26">
        <v>0</v>
      </c>
      <c r="G66" s="26">
        <v>0</v>
      </c>
      <c r="H66" s="26">
        <v>0</v>
      </c>
      <c r="I66" s="26">
        <v>0</v>
      </c>
      <c r="J66" s="23">
        <f t="shared" si="27"/>
        <v>0</v>
      </c>
      <c r="K66" s="26">
        <v>0</v>
      </c>
      <c r="L66" s="26">
        <v>0</v>
      </c>
      <c r="M66" s="26">
        <v>0</v>
      </c>
      <c r="N66" s="26">
        <v>0</v>
      </c>
      <c r="O66" s="23">
        <f t="shared" si="28"/>
        <v>0</v>
      </c>
      <c r="P66" s="23">
        <v>0</v>
      </c>
      <c r="Q66" s="23">
        <v>0</v>
      </c>
      <c r="R66" s="23">
        <v>0</v>
      </c>
      <c r="S66" s="23">
        <v>0</v>
      </c>
      <c r="T66" s="23">
        <f t="shared" si="29"/>
        <v>0</v>
      </c>
      <c r="U66" s="23">
        <v>0</v>
      </c>
      <c r="V66" s="23">
        <v>0</v>
      </c>
      <c r="W66" s="23">
        <v>0</v>
      </c>
      <c r="X66" s="23">
        <v>0</v>
      </c>
      <c r="Y66" s="23">
        <f t="shared" si="30"/>
        <v>0</v>
      </c>
      <c r="Z66" s="26">
        <v>0</v>
      </c>
      <c r="AA66" s="26">
        <v>0</v>
      </c>
      <c r="AB66" s="26">
        <v>0</v>
      </c>
      <c r="AC66" s="26">
        <v>0</v>
      </c>
      <c r="AD66" s="26">
        <f t="shared" si="31"/>
        <v>0</v>
      </c>
    </row>
    <row r="67" spans="1:31" s="8" customFormat="1" ht="30" customHeight="1" x14ac:dyDescent="0.25">
      <c r="A67" s="118"/>
      <c r="B67" s="31" t="s">
        <v>117</v>
      </c>
      <c r="C67" s="106"/>
      <c r="D67" s="109"/>
      <c r="E67" s="23">
        <f t="shared" si="26"/>
        <v>71</v>
      </c>
      <c r="F67" s="26">
        <v>71</v>
      </c>
      <c r="G67" s="26">
        <v>0</v>
      </c>
      <c r="H67" s="26">
        <v>0</v>
      </c>
      <c r="I67" s="26">
        <v>0</v>
      </c>
      <c r="J67" s="23">
        <f t="shared" si="27"/>
        <v>0</v>
      </c>
      <c r="K67" s="26">
        <v>0</v>
      </c>
      <c r="L67" s="26">
        <v>0</v>
      </c>
      <c r="M67" s="26">
        <v>0</v>
      </c>
      <c r="N67" s="26">
        <v>0</v>
      </c>
      <c r="O67" s="23">
        <f t="shared" si="28"/>
        <v>0</v>
      </c>
      <c r="P67" s="23">
        <v>0</v>
      </c>
      <c r="Q67" s="23">
        <v>0</v>
      </c>
      <c r="R67" s="23">
        <v>0</v>
      </c>
      <c r="S67" s="23">
        <v>0</v>
      </c>
      <c r="T67" s="23">
        <f t="shared" si="29"/>
        <v>0</v>
      </c>
      <c r="U67" s="23">
        <v>0</v>
      </c>
      <c r="V67" s="23">
        <v>0</v>
      </c>
      <c r="W67" s="23">
        <v>0</v>
      </c>
      <c r="X67" s="23">
        <v>0</v>
      </c>
      <c r="Y67" s="23">
        <f t="shared" si="30"/>
        <v>0</v>
      </c>
      <c r="Z67" s="26">
        <v>0</v>
      </c>
      <c r="AA67" s="26">
        <v>0</v>
      </c>
      <c r="AB67" s="26">
        <v>0</v>
      </c>
      <c r="AC67" s="26">
        <v>0</v>
      </c>
      <c r="AD67" s="26">
        <f t="shared" si="31"/>
        <v>71</v>
      </c>
    </row>
    <row r="68" spans="1:31" s="8" customFormat="1" ht="24.75" customHeight="1" x14ac:dyDescent="0.25">
      <c r="A68" s="118"/>
      <c r="B68" s="31" t="s">
        <v>118</v>
      </c>
      <c r="C68" s="106"/>
      <c r="D68" s="109"/>
      <c r="E68" s="23">
        <f t="shared" si="26"/>
        <v>2403</v>
      </c>
      <c r="F68" s="26">
        <f>580+2120-149-148</f>
        <v>2403</v>
      </c>
      <c r="G68" s="26">
        <v>0</v>
      </c>
      <c r="H68" s="26">
        <v>0</v>
      </c>
      <c r="I68" s="26">
        <v>0</v>
      </c>
      <c r="J68" s="23">
        <f t="shared" si="27"/>
        <v>256</v>
      </c>
      <c r="K68" s="26">
        <f>166+90</f>
        <v>256</v>
      </c>
      <c r="L68" s="26">
        <v>0</v>
      </c>
      <c r="M68" s="26">
        <v>0</v>
      </c>
      <c r="N68" s="26">
        <v>0</v>
      </c>
      <c r="O68" s="23">
        <f t="shared" si="28"/>
        <v>2389</v>
      </c>
      <c r="P68" s="23">
        <v>2389</v>
      </c>
      <c r="Q68" s="23">
        <v>0</v>
      </c>
      <c r="R68" s="23">
        <v>0</v>
      </c>
      <c r="S68" s="23">
        <v>0</v>
      </c>
      <c r="T68" s="23">
        <f t="shared" si="29"/>
        <v>0</v>
      </c>
      <c r="U68" s="23">
        <v>0</v>
      </c>
      <c r="V68" s="23">
        <v>0</v>
      </c>
      <c r="W68" s="23">
        <v>0</v>
      </c>
      <c r="X68" s="23">
        <v>0</v>
      </c>
      <c r="Y68" s="23">
        <f t="shared" si="30"/>
        <v>0</v>
      </c>
      <c r="Z68" s="26">
        <v>0</v>
      </c>
      <c r="AA68" s="26">
        <v>0</v>
      </c>
      <c r="AB68" s="26">
        <v>0</v>
      </c>
      <c r="AC68" s="26">
        <v>0</v>
      </c>
      <c r="AD68" s="26">
        <f t="shared" si="31"/>
        <v>5048</v>
      </c>
    </row>
    <row r="69" spans="1:31" s="8" customFormat="1" ht="24.75" customHeight="1" x14ac:dyDescent="0.25">
      <c r="A69" s="118"/>
      <c r="B69" s="31" t="s">
        <v>115</v>
      </c>
      <c r="C69" s="106"/>
      <c r="D69" s="109"/>
      <c r="E69" s="23">
        <f t="shared" si="26"/>
        <v>0</v>
      </c>
      <c r="F69" s="26">
        <v>0</v>
      </c>
      <c r="G69" s="26">
        <v>0</v>
      </c>
      <c r="H69" s="26">
        <v>0</v>
      </c>
      <c r="I69" s="26">
        <v>0</v>
      </c>
      <c r="J69" s="23">
        <f t="shared" si="27"/>
        <v>294</v>
      </c>
      <c r="K69" s="26">
        <v>294</v>
      </c>
      <c r="L69" s="26">
        <v>0</v>
      </c>
      <c r="M69" s="26">
        <v>0</v>
      </c>
      <c r="N69" s="26">
        <v>0</v>
      </c>
      <c r="O69" s="23">
        <f t="shared" si="28"/>
        <v>0</v>
      </c>
      <c r="P69" s="23">
        <v>0</v>
      </c>
      <c r="Q69" s="23">
        <v>0</v>
      </c>
      <c r="R69" s="23">
        <v>0</v>
      </c>
      <c r="S69" s="23">
        <v>0</v>
      </c>
      <c r="T69" s="23">
        <f t="shared" si="29"/>
        <v>0</v>
      </c>
      <c r="U69" s="23">
        <v>0</v>
      </c>
      <c r="V69" s="23">
        <v>0</v>
      </c>
      <c r="W69" s="23">
        <v>0</v>
      </c>
      <c r="X69" s="23">
        <v>0</v>
      </c>
      <c r="Y69" s="23">
        <f t="shared" si="30"/>
        <v>0</v>
      </c>
      <c r="Z69" s="26">
        <v>0</v>
      </c>
      <c r="AA69" s="26">
        <v>0</v>
      </c>
      <c r="AB69" s="26">
        <v>0</v>
      </c>
      <c r="AC69" s="26">
        <v>0</v>
      </c>
      <c r="AD69" s="26">
        <f t="shared" si="31"/>
        <v>294</v>
      </c>
    </row>
    <row r="70" spans="1:31" s="8" customFormat="1" ht="35.25" customHeight="1" x14ac:dyDescent="0.25">
      <c r="A70" s="118"/>
      <c r="B70" s="31" t="s">
        <v>116</v>
      </c>
      <c r="C70" s="106"/>
      <c r="D70" s="109"/>
      <c r="E70" s="23">
        <f t="shared" si="26"/>
        <v>0</v>
      </c>
      <c r="F70" s="26">
        <v>0</v>
      </c>
      <c r="G70" s="26">
        <v>0</v>
      </c>
      <c r="H70" s="26">
        <v>0</v>
      </c>
      <c r="I70" s="26">
        <v>0</v>
      </c>
      <c r="J70" s="23">
        <f t="shared" si="27"/>
        <v>0</v>
      </c>
      <c r="K70" s="26">
        <v>0</v>
      </c>
      <c r="L70" s="26">
        <v>0</v>
      </c>
      <c r="M70" s="26">
        <v>0</v>
      </c>
      <c r="N70" s="26">
        <v>0</v>
      </c>
      <c r="O70" s="23">
        <f t="shared" si="28"/>
        <v>0</v>
      </c>
      <c r="P70" s="23">
        <v>0</v>
      </c>
      <c r="Q70" s="23">
        <v>0</v>
      </c>
      <c r="R70" s="23">
        <v>0</v>
      </c>
      <c r="S70" s="23">
        <v>0</v>
      </c>
      <c r="T70" s="23">
        <f t="shared" si="29"/>
        <v>0</v>
      </c>
      <c r="U70" s="23">
        <v>0</v>
      </c>
      <c r="V70" s="23">
        <v>0</v>
      </c>
      <c r="W70" s="23">
        <v>0</v>
      </c>
      <c r="X70" s="23">
        <v>0</v>
      </c>
      <c r="Y70" s="23">
        <f t="shared" si="30"/>
        <v>0</v>
      </c>
      <c r="Z70" s="26">
        <v>0</v>
      </c>
      <c r="AA70" s="26">
        <v>0</v>
      </c>
      <c r="AB70" s="26">
        <v>0</v>
      </c>
      <c r="AC70" s="26">
        <v>0</v>
      </c>
      <c r="AD70" s="26">
        <f t="shared" si="31"/>
        <v>0</v>
      </c>
    </row>
    <row r="71" spans="1:31" s="8" customFormat="1" ht="30" customHeight="1" x14ac:dyDescent="0.25">
      <c r="A71" s="118"/>
      <c r="B71" s="31" t="s">
        <v>108</v>
      </c>
      <c r="C71" s="106"/>
      <c r="D71" s="109"/>
      <c r="E71" s="23">
        <f t="shared" si="26"/>
        <v>0</v>
      </c>
      <c r="F71" s="26">
        <v>0</v>
      </c>
      <c r="G71" s="26">
        <v>0</v>
      </c>
      <c r="H71" s="26">
        <v>0</v>
      </c>
      <c r="I71" s="26">
        <v>0</v>
      </c>
      <c r="J71" s="23">
        <f t="shared" si="27"/>
        <v>7090</v>
      </c>
      <c r="K71" s="26">
        <f>4803+2287</f>
        <v>7090</v>
      </c>
      <c r="L71" s="26">
        <v>0</v>
      </c>
      <c r="M71" s="26">
        <v>0</v>
      </c>
      <c r="N71" s="26">
        <v>0</v>
      </c>
      <c r="O71" s="23">
        <f t="shared" si="28"/>
        <v>0</v>
      </c>
      <c r="P71" s="23">
        <v>0</v>
      </c>
      <c r="Q71" s="23">
        <v>0</v>
      </c>
      <c r="R71" s="23">
        <v>0</v>
      </c>
      <c r="S71" s="23">
        <v>0</v>
      </c>
      <c r="T71" s="23">
        <f t="shared" si="29"/>
        <v>0</v>
      </c>
      <c r="U71" s="23">
        <v>0</v>
      </c>
      <c r="V71" s="23">
        <v>0</v>
      </c>
      <c r="W71" s="23">
        <v>0</v>
      </c>
      <c r="X71" s="23">
        <v>0</v>
      </c>
      <c r="Y71" s="23">
        <f t="shared" si="30"/>
        <v>0</v>
      </c>
      <c r="Z71" s="26">
        <v>0</v>
      </c>
      <c r="AA71" s="26">
        <v>0</v>
      </c>
      <c r="AB71" s="26">
        <v>0</v>
      </c>
      <c r="AC71" s="26">
        <v>0</v>
      </c>
      <c r="AD71" s="26">
        <f t="shared" si="31"/>
        <v>7090</v>
      </c>
    </row>
    <row r="72" spans="1:31" s="8" customFormat="1" ht="30" customHeight="1" x14ac:dyDescent="0.25">
      <c r="A72" s="118"/>
      <c r="B72" s="31" t="s">
        <v>110</v>
      </c>
      <c r="C72" s="106"/>
      <c r="D72" s="109"/>
      <c r="E72" s="23">
        <f t="shared" si="26"/>
        <v>0</v>
      </c>
      <c r="F72" s="26">
        <v>0</v>
      </c>
      <c r="G72" s="26">
        <v>0</v>
      </c>
      <c r="H72" s="26">
        <v>0</v>
      </c>
      <c r="I72" s="26">
        <v>0</v>
      </c>
      <c r="J72" s="23">
        <f t="shared" si="27"/>
        <v>494</v>
      </c>
      <c r="K72" s="26">
        <v>494</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f t="shared" si="31"/>
        <v>494</v>
      </c>
    </row>
    <row r="73" spans="1:31" s="2" customFormat="1" ht="30" customHeight="1" x14ac:dyDescent="0.25">
      <c r="A73" s="118"/>
      <c r="B73" s="32" t="s">
        <v>100</v>
      </c>
      <c r="C73" s="106"/>
      <c r="D73" s="109"/>
      <c r="E73" s="23">
        <f t="shared" si="26"/>
        <v>1197</v>
      </c>
      <c r="F73" s="26">
        <v>1197</v>
      </c>
      <c r="G73" s="26">
        <v>0</v>
      </c>
      <c r="H73" s="26">
        <v>0</v>
      </c>
      <c r="I73" s="26">
        <v>0</v>
      </c>
      <c r="J73" s="26">
        <v>0</v>
      </c>
      <c r="K73" s="26">
        <v>0</v>
      </c>
      <c r="L73" s="26">
        <v>0</v>
      </c>
      <c r="M73" s="26">
        <v>0</v>
      </c>
      <c r="N73" s="26">
        <v>0</v>
      </c>
      <c r="O73" s="26">
        <v>0</v>
      </c>
      <c r="P73" s="26">
        <v>0</v>
      </c>
      <c r="Q73" s="26">
        <v>0</v>
      </c>
      <c r="R73" s="26">
        <v>0</v>
      </c>
      <c r="S73" s="26">
        <v>0</v>
      </c>
      <c r="T73" s="26">
        <v>0</v>
      </c>
      <c r="U73" s="26">
        <v>0</v>
      </c>
      <c r="V73" s="26">
        <v>0</v>
      </c>
      <c r="W73" s="26">
        <v>0</v>
      </c>
      <c r="X73" s="26">
        <v>0</v>
      </c>
      <c r="Y73" s="26">
        <v>0</v>
      </c>
      <c r="Z73" s="26">
        <v>0</v>
      </c>
      <c r="AA73" s="26">
        <v>0</v>
      </c>
      <c r="AB73" s="26">
        <v>0</v>
      </c>
      <c r="AC73" s="26">
        <v>0</v>
      </c>
      <c r="AD73" s="26">
        <f t="shared" si="31"/>
        <v>1197</v>
      </c>
      <c r="AE73" s="8"/>
    </row>
    <row r="74" spans="1:31" s="2" customFormat="1" ht="25.5" customHeight="1" x14ac:dyDescent="0.25">
      <c r="A74" s="123"/>
      <c r="B74" s="63" t="s">
        <v>111</v>
      </c>
      <c r="C74" s="107"/>
      <c r="D74" s="110"/>
      <c r="E74" s="23">
        <f t="shared" si="26"/>
        <v>0</v>
      </c>
      <c r="F74" s="26">
        <v>0</v>
      </c>
      <c r="G74" s="26">
        <v>0</v>
      </c>
      <c r="H74" s="26">
        <v>0</v>
      </c>
      <c r="I74" s="26">
        <v>0</v>
      </c>
      <c r="J74" s="23">
        <f>K74+L74+M74+N74</f>
        <v>0</v>
      </c>
      <c r="K74" s="26">
        <v>0</v>
      </c>
      <c r="L74" s="26">
        <v>0</v>
      </c>
      <c r="M74" s="26">
        <v>0</v>
      </c>
      <c r="N74" s="26">
        <v>0</v>
      </c>
      <c r="O74" s="23">
        <f>P74+Q74+R74+S74</f>
        <v>0</v>
      </c>
      <c r="P74" s="23">
        <v>0</v>
      </c>
      <c r="Q74" s="23">
        <v>0</v>
      </c>
      <c r="R74" s="23">
        <v>0</v>
      </c>
      <c r="S74" s="23">
        <v>0</v>
      </c>
      <c r="T74" s="23">
        <f>U74+V74+W74+X74</f>
        <v>0</v>
      </c>
      <c r="U74" s="23">
        <v>0</v>
      </c>
      <c r="V74" s="23">
        <v>0</v>
      </c>
      <c r="W74" s="23">
        <v>0</v>
      </c>
      <c r="X74" s="23">
        <v>0</v>
      </c>
      <c r="Y74" s="23">
        <f>Z74+AA74+AB74+AC74</f>
        <v>0</v>
      </c>
      <c r="Z74" s="26">
        <v>0</v>
      </c>
      <c r="AA74" s="26">
        <v>0</v>
      </c>
      <c r="AB74" s="26">
        <v>0</v>
      </c>
      <c r="AC74" s="26">
        <v>0</v>
      </c>
      <c r="AD74" s="26">
        <f t="shared" si="31"/>
        <v>0</v>
      </c>
      <c r="AE74" s="8"/>
    </row>
    <row r="75" spans="1:31" s="2" customFormat="1" ht="70.5" customHeight="1" x14ac:dyDescent="0.25">
      <c r="A75" s="116" t="s">
        <v>8</v>
      </c>
      <c r="B75" s="31" t="s">
        <v>123</v>
      </c>
      <c r="C75" s="116" t="s">
        <v>189</v>
      </c>
      <c r="D75" s="25"/>
      <c r="E75" s="23"/>
      <c r="F75" s="26"/>
      <c r="G75" s="26"/>
      <c r="H75" s="26"/>
      <c r="I75" s="26"/>
      <c r="J75" s="23"/>
      <c r="K75" s="26"/>
      <c r="L75" s="26"/>
      <c r="M75" s="26"/>
      <c r="N75" s="26"/>
      <c r="O75" s="23"/>
      <c r="P75" s="23"/>
      <c r="Q75" s="23"/>
      <c r="R75" s="23"/>
      <c r="S75" s="23"/>
      <c r="T75" s="23"/>
      <c r="U75" s="23"/>
      <c r="V75" s="23"/>
      <c r="W75" s="23"/>
      <c r="X75" s="23"/>
      <c r="Y75" s="23"/>
      <c r="Z75" s="26"/>
      <c r="AA75" s="26"/>
      <c r="AB75" s="26"/>
      <c r="AC75" s="26"/>
      <c r="AD75" s="26"/>
      <c r="AE75" s="8"/>
    </row>
    <row r="76" spans="1:31" s="2" customFormat="1" ht="27.75" customHeight="1" x14ac:dyDescent="0.25">
      <c r="A76" s="118"/>
      <c r="B76" s="31" t="s">
        <v>121</v>
      </c>
      <c r="C76" s="118"/>
      <c r="D76" s="52" t="s">
        <v>62</v>
      </c>
      <c r="E76" s="23">
        <f t="shared" ref="E76:E102" si="32">SUM(F76:I76)</f>
        <v>0</v>
      </c>
      <c r="F76" s="26">
        <v>0</v>
      </c>
      <c r="G76" s="26">
        <v>0</v>
      </c>
      <c r="H76" s="26">
        <v>0</v>
      </c>
      <c r="I76" s="26">
        <v>0</v>
      </c>
      <c r="J76" s="23">
        <f t="shared" ref="J76:J106" si="33">SUM(K76:N76)</f>
        <v>0</v>
      </c>
      <c r="K76" s="26">
        <v>0</v>
      </c>
      <c r="L76" s="26">
        <v>0</v>
      </c>
      <c r="M76" s="26">
        <v>0</v>
      </c>
      <c r="N76" s="26">
        <v>0</v>
      </c>
      <c r="O76" s="23">
        <f t="shared" ref="O76:O103" si="34">SUM(P76:S76)</f>
        <v>0</v>
      </c>
      <c r="P76" s="23">
        <v>0</v>
      </c>
      <c r="Q76" s="23">
        <v>0</v>
      </c>
      <c r="R76" s="23">
        <v>0</v>
      </c>
      <c r="S76" s="23">
        <v>0</v>
      </c>
      <c r="T76" s="23">
        <f t="shared" ref="T76:T99" si="35">SUM(U76:X76)</f>
        <v>0</v>
      </c>
      <c r="U76" s="23">
        <v>0</v>
      </c>
      <c r="V76" s="23">
        <v>0</v>
      </c>
      <c r="W76" s="23">
        <v>0</v>
      </c>
      <c r="X76" s="23">
        <v>0</v>
      </c>
      <c r="Y76" s="23">
        <f t="shared" ref="Y76:Y99" si="36">SUM(Z76:AC76)</f>
        <v>0</v>
      </c>
      <c r="Z76" s="26">
        <v>0</v>
      </c>
      <c r="AA76" s="23">
        <v>0</v>
      </c>
      <c r="AB76" s="23">
        <v>0</v>
      </c>
      <c r="AC76" s="23">
        <v>0</v>
      </c>
      <c r="AD76" s="26">
        <f t="shared" ref="AD76:AD108" si="37">SUM(Y76,T76,O76,J76,E76)</f>
        <v>0</v>
      </c>
      <c r="AE76" s="8"/>
    </row>
    <row r="77" spans="1:31" s="2" customFormat="1" ht="27.75" customHeight="1" x14ac:dyDescent="0.25">
      <c r="A77" s="118"/>
      <c r="B77" s="31" t="s">
        <v>100</v>
      </c>
      <c r="C77" s="118"/>
      <c r="D77" s="52" t="s">
        <v>62</v>
      </c>
      <c r="E77" s="23">
        <f t="shared" si="32"/>
        <v>44</v>
      </c>
      <c r="F77" s="26">
        <v>44</v>
      </c>
      <c r="G77" s="26">
        <v>0</v>
      </c>
      <c r="H77" s="26">
        <v>0</v>
      </c>
      <c r="I77" s="26">
        <v>0</v>
      </c>
      <c r="J77" s="23">
        <f t="shared" si="33"/>
        <v>0</v>
      </c>
      <c r="K77" s="26">
        <v>0</v>
      </c>
      <c r="L77" s="26">
        <v>0</v>
      </c>
      <c r="M77" s="26">
        <v>0</v>
      </c>
      <c r="N77" s="26">
        <v>0</v>
      </c>
      <c r="O77" s="23">
        <f t="shared" si="34"/>
        <v>0</v>
      </c>
      <c r="P77" s="23">
        <v>0</v>
      </c>
      <c r="Q77" s="23">
        <v>0</v>
      </c>
      <c r="R77" s="23">
        <v>0</v>
      </c>
      <c r="S77" s="23">
        <v>0</v>
      </c>
      <c r="T77" s="23">
        <f t="shared" si="35"/>
        <v>0</v>
      </c>
      <c r="U77" s="23">
        <v>0</v>
      </c>
      <c r="V77" s="23">
        <v>0</v>
      </c>
      <c r="W77" s="23">
        <v>0</v>
      </c>
      <c r="X77" s="23">
        <v>0</v>
      </c>
      <c r="Y77" s="23">
        <f t="shared" si="36"/>
        <v>66</v>
      </c>
      <c r="Z77" s="26">
        <v>66</v>
      </c>
      <c r="AA77" s="23">
        <v>0</v>
      </c>
      <c r="AB77" s="23">
        <v>0</v>
      </c>
      <c r="AC77" s="23">
        <v>0</v>
      </c>
      <c r="AD77" s="26">
        <f t="shared" si="37"/>
        <v>110</v>
      </c>
      <c r="AE77" s="8"/>
    </row>
    <row r="78" spans="1:31" s="2" customFormat="1" ht="27.75" customHeight="1" x14ac:dyDescent="0.25">
      <c r="A78" s="118"/>
      <c r="B78" s="31" t="s">
        <v>106</v>
      </c>
      <c r="C78" s="118"/>
      <c r="D78" s="52" t="s">
        <v>62</v>
      </c>
      <c r="E78" s="23">
        <f t="shared" si="32"/>
        <v>0</v>
      </c>
      <c r="F78" s="26">
        <v>0</v>
      </c>
      <c r="G78" s="26">
        <v>0</v>
      </c>
      <c r="H78" s="26">
        <v>0</v>
      </c>
      <c r="I78" s="26">
        <v>0</v>
      </c>
      <c r="J78" s="23">
        <f t="shared" si="33"/>
        <v>0</v>
      </c>
      <c r="K78" s="26">
        <v>0</v>
      </c>
      <c r="L78" s="26">
        <v>0</v>
      </c>
      <c r="M78" s="26">
        <v>0</v>
      </c>
      <c r="N78" s="26">
        <v>0</v>
      </c>
      <c r="O78" s="23">
        <f t="shared" si="34"/>
        <v>0</v>
      </c>
      <c r="P78" s="23">
        <v>0</v>
      </c>
      <c r="Q78" s="23">
        <v>0</v>
      </c>
      <c r="R78" s="23">
        <v>0</v>
      </c>
      <c r="S78" s="23">
        <v>0</v>
      </c>
      <c r="T78" s="23">
        <f t="shared" si="35"/>
        <v>0</v>
      </c>
      <c r="U78" s="23">
        <v>0</v>
      </c>
      <c r="V78" s="23">
        <v>0</v>
      </c>
      <c r="W78" s="23">
        <v>0</v>
      </c>
      <c r="X78" s="23">
        <v>0</v>
      </c>
      <c r="Y78" s="23">
        <f t="shared" si="36"/>
        <v>0</v>
      </c>
      <c r="Z78" s="26">
        <v>0</v>
      </c>
      <c r="AA78" s="23">
        <v>0</v>
      </c>
      <c r="AB78" s="23">
        <v>0</v>
      </c>
      <c r="AC78" s="23">
        <v>0</v>
      </c>
      <c r="AD78" s="26">
        <f t="shared" si="37"/>
        <v>0</v>
      </c>
      <c r="AE78" s="8"/>
    </row>
    <row r="79" spans="1:31" s="8" customFormat="1" ht="27.75" customHeight="1" x14ac:dyDescent="0.25">
      <c r="A79" s="118"/>
      <c r="B79" s="31" t="s">
        <v>119</v>
      </c>
      <c r="C79" s="118"/>
      <c r="D79" s="52" t="s">
        <v>62</v>
      </c>
      <c r="E79" s="23">
        <f t="shared" si="32"/>
        <v>0</v>
      </c>
      <c r="F79" s="26">
        <v>0</v>
      </c>
      <c r="G79" s="26">
        <v>0</v>
      </c>
      <c r="H79" s="26">
        <v>0</v>
      </c>
      <c r="I79" s="26">
        <v>0</v>
      </c>
      <c r="J79" s="23">
        <f t="shared" si="33"/>
        <v>0</v>
      </c>
      <c r="K79" s="26">
        <v>0</v>
      </c>
      <c r="L79" s="26">
        <v>0</v>
      </c>
      <c r="M79" s="26">
        <v>0</v>
      </c>
      <c r="N79" s="26">
        <v>0</v>
      </c>
      <c r="O79" s="23">
        <f t="shared" si="34"/>
        <v>2496</v>
      </c>
      <c r="P79" s="23">
        <v>2496</v>
      </c>
      <c r="Q79" s="23">
        <v>0</v>
      </c>
      <c r="R79" s="23">
        <v>0</v>
      </c>
      <c r="S79" s="23">
        <v>0</v>
      </c>
      <c r="T79" s="23">
        <f t="shared" si="35"/>
        <v>0</v>
      </c>
      <c r="U79" s="23">
        <v>0</v>
      </c>
      <c r="V79" s="23">
        <v>0</v>
      </c>
      <c r="W79" s="23">
        <v>0</v>
      </c>
      <c r="X79" s="23">
        <v>0</v>
      </c>
      <c r="Y79" s="23">
        <f t="shared" si="36"/>
        <v>0</v>
      </c>
      <c r="Z79" s="26">
        <v>0</v>
      </c>
      <c r="AA79" s="23">
        <v>0</v>
      </c>
      <c r="AB79" s="23">
        <v>0</v>
      </c>
      <c r="AC79" s="23">
        <v>0</v>
      </c>
      <c r="AD79" s="26">
        <f t="shared" si="37"/>
        <v>2496</v>
      </c>
    </row>
    <row r="80" spans="1:31" s="2" customFormat="1" ht="27.75" customHeight="1" x14ac:dyDescent="0.25">
      <c r="A80" s="118"/>
      <c r="B80" s="31" t="s">
        <v>103</v>
      </c>
      <c r="C80" s="118"/>
      <c r="D80" s="52" t="s">
        <v>62</v>
      </c>
      <c r="E80" s="23">
        <f t="shared" si="32"/>
        <v>0</v>
      </c>
      <c r="F80" s="26">
        <v>0</v>
      </c>
      <c r="G80" s="26">
        <v>0</v>
      </c>
      <c r="H80" s="26">
        <v>0</v>
      </c>
      <c r="I80" s="26">
        <v>0</v>
      </c>
      <c r="J80" s="23">
        <f t="shared" si="33"/>
        <v>0</v>
      </c>
      <c r="K80" s="26">
        <v>0</v>
      </c>
      <c r="L80" s="26">
        <v>0</v>
      </c>
      <c r="M80" s="26">
        <v>0</v>
      </c>
      <c r="N80" s="26">
        <v>0</v>
      </c>
      <c r="O80" s="23">
        <f t="shared" si="34"/>
        <v>0</v>
      </c>
      <c r="P80" s="23">
        <v>0</v>
      </c>
      <c r="Q80" s="23">
        <v>0</v>
      </c>
      <c r="R80" s="23">
        <v>0</v>
      </c>
      <c r="S80" s="23">
        <v>0</v>
      </c>
      <c r="T80" s="23">
        <f t="shared" si="35"/>
        <v>0</v>
      </c>
      <c r="U80" s="23">
        <v>0</v>
      </c>
      <c r="V80" s="23">
        <v>0</v>
      </c>
      <c r="W80" s="23">
        <v>0</v>
      </c>
      <c r="X80" s="23">
        <v>0</v>
      </c>
      <c r="Y80" s="23">
        <f t="shared" si="36"/>
        <v>1561</v>
      </c>
      <c r="Z80" s="26">
        <v>1561</v>
      </c>
      <c r="AA80" s="23">
        <v>0</v>
      </c>
      <c r="AB80" s="23">
        <v>0</v>
      </c>
      <c r="AC80" s="23">
        <v>0</v>
      </c>
      <c r="AD80" s="26">
        <f t="shared" si="37"/>
        <v>1561</v>
      </c>
      <c r="AE80" s="8"/>
    </row>
    <row r="81" spans="1:31" s="2" customFormat="1" ht="27.75" customHeight="1" x14ac:dyDescent="0.25">
      <c r="A81" s="118"/>
      <c r="B81" s="31" t="s">
        <v>97</v>
      </c>
      <c r="C81" s="118"/>
      <c r="D81" s="52" t="s">
        <v>62</v>
      </c>
      <c r="E81" s="23">
        <f t="shared" si="32"/>
        <v>300</v>
      </c>
      <c r="F81" s="26">
        <v>300</v>
      </c>
      <c r="G81" s="26">
        <v>0</v>
      </c>
      <c r="H81" s="26">
        <v>0</v>
      </c>
      <c r="I81" s="26">
        <v>0</v>
      </c>
      <c r="J81" s="23">
        <f t="shared" si="33"/>
        <v>1211</v>
      </c>
      <c r="K81" s="26">
        <v>1211</v>
      </c>
      <c r="L81" s="26">
        <v>0</v>
      </c>
      <c r="M81" s="26">
        <v>0</v>
      </c>
      <c r="N81" s="26">
        <v>0</v>
      </c>
      <c r="O81" s="23">
        <f t="shared" si="34"/>
        <v>0</v>
      </c>
      <c r="P81" s="23">
        <v>0</v>
      </c>
      <c r="Q81" s="23">
        <v>0</v>
      </c>
      <c r="R81" s="23">
        <v>0</v>
      </c>
      <c r="S81" s="23">
        <v>0</v>
      </c>
      <c r="T81" s="23">
        <f t="shared" si="35"/>
        <v>0</v>
      </c>
      <c r="U81" s="23">
        <v>0</v>
      </c>
      <c r="V81" s="23">
        <v>0</v>
      </c>
      <c r="W81" s="23">
        <v>0</v>
      </c>
      <c r="X81" s="23">
        <v>0</v>
      </c>
      <c r="Y81" s="23">
        <f t="shared" si="36"/>
        <v>750</v>
      </c>
      <c r="Z81" s="26">
        <v>750</v>
      </c>
      <c r="AA81" s="23">
        <v>0</v>
      </c>
      <c r="AB81" s="23">
        <v>0</v>
      </c>
      <c r="AC81" s="23">
        <v>0</v>
      </c>
      <c r="AD81" s="26">
        <f t="shared" si="37"/>
        <v>2261</v>
      </c>
      <c r="AE81" s="8"/>
    </row>
    <row r="82" spans="1:31" s="2" customFormat="1" ht="27.75" customHeight="1" x14ac:dyDescent="0.25">
      <c r="A82" s="118"/>
      <c r="B82" s="31" t="s">
        <v>122</v>
      </c>
      <c r="C82" s="118"/>
      <c r="D82" s="52" t="s">
        <v>62</v>
      </c>
      <c r="E82" s="23">
        <f t="shared" si="32"/>
        <v>132</v>
      </c>
      <c r="F82" s="26">
        <v>132</v>
      </c>
      <c r="G82" s="26">
        <v>0</v>
      </c>
      <c r="H82" s="26">
        <v>0</v>
      </c>
      <c r="I82" s="26">
        <v>0</v>
      </c>
      <c r="J82" s="23">
        <f t="shared" si="33"/>
        <v>0</v>
      </c>
      <c r="K82" s="26">
        <v>0</v>
      </c>
      <c r="L82" s="26">
        <v>0</v>
      </c>
      <c r="M82" s="26">
        <v>0</v>
      </c>
      <c r="N82" s="26">
        <v>0</v>
      </c>
      <c r="O82" s="23">
        <f t="shared" si="34"/>
        <v>0</v>
      </c>
      <c r="P82" s="23">
        <v>0</v>
      </c>
      <c r="Q82" s="23">
        <v>0</v>
      </c>
      <c r="R82" s="23">
        <v>0</v>
      </c>
      <c r="S82" s="23">
        <v>0</v>
      </c>
      <c r="T82" s="23">
        <f t="shared" si="35"/>
        <v>0</v>
      </c>
      <c r="U82" s="23">
        <v>0</v>
      </c>
      <c r="V82" s="23">
        <v>0</v>
      </c>
      <c r="W82" s="23">
        <v>0</v>
      </c>
      <c r="X82" s="23">
        <v>0</v>
      </c>
      <c r="Y82" s="23">
        <f t="shared" si="36"/>
        <v>184</v>
      </c>
      <c r="Z82" s="26">
        <v>184</v>
      </c>
      <c r="AA82" s="23">
        <v>0</v>
      </c>
      <c r="AB82" s="23">
        <v>0</v>
      </c>
      <c r="AC82" s="23">
        <v>0</v>
      </c>
      <c r="AD82" s="26">
        <f t="shared" si="37"/>
        <v>316</v>
      </c>
      <c r="AE82" s="8"/>
    </row>
    <row r="83" spans="1:31" s="2" customFormat="1" ht="27.75" customHeight="1" x14ac:dyDescent="0.25">
      <c r="A83" s="118"/>
      <c r="B83" s="31" t="s">
        <v>101</v>
      </c>
      <c r="C83" s="118"/>
      <c r="D83" s="52" t="s">
        <v>62</v>
      </c>
      <c r="E83" s="23">
        <f t="shared" si="32"/>
        <v>0</v>
      </c>
      <c r="F83" s="26">
        <v>0</v>
      </c>
      <c r="G83" s="26">
        <v>0</v>
      </c>
      <c r="H83" s="26">
        <v>0</v>
      </c>
      <c r="I83" s="26">
        <v>0</v>
      </c>
      <c r="J83" s="23">
        <f t="shared" si="33"/>
        <v>0</v>
      </c>
      <c r="K83" s="26">
        <v>0</v>
      </c>
      <c r="L83" s="26">
        <v>0</v>
      </c>
      <c r="M83" s="26">
        <v>0</v>
      </c>
      <c r="N83" s="26">
        <v>0</v>
      </c>
      <c r="O83" s="23">
        <f t="shared" si="34"/>
        <v>0</v>
      </c>
      <c r="P83" s="23">
        <v>0</v>
      </c>
      <c r="Q83" s="23">
        <v>0</v>
      </c>
      <c r="R83" s="23">
        <v>0</v>
      </c>
      <c r="S83" s="23">
        <v>0</v>
      </c>
      <c r="T83" s="23">
        <f t="shared" si="35"/>
        <v>0</v>
      </c>
      <c r="U83" s="23">
        <v>0</v>
      </c>
      <c r="V83" s="23">
        <v>0</v>
      </c>
      <c r="W83" s="23">
        <v>0</v>
      </c>
      <c r="X83" s="23">
        <v>0</v>
      </c>
      <c r="Y83" s="23">
        <f t="shared" si="36"/>
        <v>500</v>
      </c>
      <c r="Z83" s="26">
        <v>500</v>
      </c>
      <c r="AA83" s="23">
        <v>0</v>
      </c>
      <c r="AB83" s="23">
        <v>0</v>
      </c>
      <c r="AC83" s="23">
        <v>0</v>
      </c>
      <c r="AD83" s="26">
        <f t="shared" si="37"/>
        <v>500</v>
      </c>
      <c r="AE83" s="8"/>
    </row>
    <row r="84" spans="1:31" s="2" customFormat="1" ht="32.25" customHeight="1" x14ac:dyDescent="0.25">
      <c r="A84" s="118"/>
      <c r="B84" s="31" t="s">
        <v>118</v>
      </c>
      <c r="C84" s="118"/>
      <c r="D84" s="52" t="s">
        <v>62</v>
      </c>
      <c r="E84" s="23">
        <f t="shared" si="32"/>
        <v>105</v>
      </c>
      <c r="F84" s="26">
        <v>105</v>
      </c>
      <c r="G84" s="26">
        <v>0</v>
      </c>
      <c r="H84" s="26">
        <v>0</v>
      </c>
      <c r="I84" s="26">
        <v>0</v>
      </c>
      <c r="J84" s="23">
        <f t="shared" si="33"/>
        <v>0</v>
      </c>
      <c r="K84" s="26">
        <v>0</v>
      </c>
      <c r="L84" s="26">
        <v>0</v>
      </c>
      <c r="M84" s="26">
        <v>0</v>
      </c>
      <c r="N84" s="26">
        <v>0</v>
      </c>
      <c r="O84" s="23">
        <f t="shared" si="34"/>
        <v>0</v>
      </c>
      <c r="P84" s="23">
        <v>0</v>
      </c>
      <c r="Q84" s="23">
        <v>0</v>
      </c>
      <c r="R84" s="23">
        <v>0</v>
      </c>
      <c r="S84" s="23">
        <v>0</v>
      </c>
      <c r="T84" s="23">
        <f t="shared" si="35"/>
        <v>0</v>
      </c>
      <c r="U84" s="23">
        <v>0</v>
      </c>
      <c r="V84" s="23">
        <v>0</v>
      </c>
      <c r="W84" s="23">
        <v>0</v>
      </c>
      <c r="X84" s="23">
        <v>0</v>
      </c>
      <c r="Y84" s="23">
        <f t="shared" si="36"/>
        <v>0</v>
      </c>
      <c r="Z84" s="26">
        <v>0</v>
      </c>
      <c r="AA84" s="23">
        <v>0</v>
      </c>
      <c r="AB84" s="23">
        <v>0</v>
      </c>
      <c r="AC84" s="23">
        <v>0</v>
      </c>
      <c r="AD84" s="26">
        <f t="shared" si="37"/>
        <v>105</v>
      </c>
      <c r="AE84" s="8"/>
    </row>
    <row r="85" spans="1:31" s="8" customFormat="1" ht="32.25" customHeight="1" x14ac:dyDescent="0.25">
      <c r="A85" s="118"/>
      <c r="B85" s="31" t="s">
        <v>117</v>
      </c>
      <c r="C85" s="118"/>
      <c r="D85" s="52" t="s">
        <v>62</v>
      </c>
      <c r="E85" s="23">
        <f t="shared" si="32"/>
        <v>49</v>
      </c>
      <c r="F85" s="26">
        <v>49</v>
      </c>
      <c r="G85" s="26">
        <v>0</v>
      </c>
      <c r="H85" s="26">
        <v>0</v>
      </c>
      <c r="I85" s="26">
        <v>0</v>
      </c>
      <c r="J85" s="23">
        <f t="shared" si="33"/>
        <v>0</v>
      </c>
      <c r="K85" s="26">
        <v>0</v>
      </c>
      <c r="L85" s="26">
        <v>0</v>
      </c>
      <c r="M85" s="26">
        <v>0</v>
      </c>
      <c r="N85" s="26">
        <v>0</v>
      </c>
      <c r="O85" s="23">
        <f t="shared" si="34"/>
        <v>0</v>
      </c>
      <c r="P85" s="23">
        <v>0</v>
      </c>
      <c r="Q85" s="23">
        <v>0</v>
      </c>
      <c r="R85" s="23">
        <v>0</v>
      </c>
      <c r="S85" s="23">
        <v>0</v>
      </c>
      <c r="T85" s="23">
        <f t="shared" si="35"/>
        <v>0</v>
      </c>
      <c r="U85" s="23">
        <v>0</v>
      </c>
      <c r="V85" s="23">
        <v>0</v>
      </c>
      <c r="W85" s="23">
        <v>0</v>
      </c>
      <c r="X85" s="23">
        <v>0</v>
      </c>
      <c r="Y85" s="23">
        <f t="shared" si="36"/>
        <v>0</v>
      </c>
      <c r="Z85" s="26">
        <v>0</v>
      </c>
      <c r="AA85" s="23">
        <v>0</v>
      </c>
      <c r="AB85" s="23">
        <v>0</v>
      </c>
      <c r="AC85" s="23">
        <v>0</v>
      </c>
      <c r="AD85" s="26">
        <f t="shared" si="37"/>
        <v>49</v>
      </c>
    </row>
    <row r="86" spans="1:31" s="8" customFormat="1" ht="32.25" customHeight="1" x14ac:dyDescent="0.25">
      <c r="A86" s="118"/>
      <c r="B86" s="31" t="s">
        <v>111</v>
      </c>
      <c r="C86" s="118"/>
      <c r="D86" s="52" t="s">
        <v>62</v>
      </c>
      <c r="E86" s="23">
        <f t="shared" si="32"/>
        <v>1144</v>
      </c>
      <c r="F86" s="26">
        <v>1144</v>
      </c>
      <c r="G86" s="26">
        <v>0</v>
      </c>
      <c r="H86" s="26">
        <v>0</v>
      </c>
      <c r="I86" s="26">
        <v>0</v>
      </c>
      <c r="J86" s="23">
        <f t="shared" si="33"/>
        <v>0</v>
      </c>
      <c r="K86" s="26">
        <v>0</v>
      </c>
      <c r="L86" s="26">
        <v>0</v>
      </c>
      <c r="M86" s="26">
        <v>0</v>
      </c>
      <c r="N86" s="26">
        <v>0</v>
      </c>
      <c r="O86" s="23">
        <f t="shared" si="34"/>
        <v>0</v>
      </c>
      <c r="P86" s="23">
        <v>0</v>
      </c>
      <c r="Q86" s="23">
        <v>0</v>
      </c>
      <c r="R86" s="23">
        <v>0</v>
      </c>
      <c r="S86" s="23">
        <v>0</v>
      </c>
      <c r="T86" s="23">
        <f t="shared" si="35"/>
        <v>0</v>
      </c>
      <c r="U86" s="23">
        <v>0</v>
      </c>
      <c r="V86" s="23">
        <v>0</v>
      </c>
      <c r="W86" s="23">
        <v>0</v>
      </c>
      <c r="X86" s="23">
        <v>0</v>
      </c>
      <c r="Y86" s="23">
        <f t="shared" si="36"/>
        <v>0</v>
      </c>
      <c r="Z86" s="26">
        <v>0</v>
      </c>
      <c r="AA86" s="23">
        <v>0</v>
      </c>
      <c r="AB86" s="23">
        <v>0</v>
      </c>
      <c r="AC86" s="23">
        <v>0</v>
      </c>
      <c r="AD86" s="26">
        <f t="shared" si="37"/>
        <v>1144</v>
      </c>
    </row>
    <row r="87" spans="1:31" s="8" customFormat="1" ht="32.25" customHeight="1" x14ac:dyDescent="0.25">
      <c r="A87" s="118"/>
      <c r="B87" s="31" t="s">
        <v>98</v>
      </c>
      <c r="C87" s="118"/>
      <c r="D87" s="52" t="s">
        <v>62</v>
      </c>
      <c r="E87" s="23">
        <f t="shared" si="32"/>
        <v>1727</v>
      </c>
      <c r="F87" s="26">
        <f>1619+108</f>
        <v>1727</v>
      </c>
      <c r="G87" s="26">
        <v>0</v>
      </c>
      <c r="H87" s="26">
        <v>0</v>
      </c>
      <c r="I87" s="26">
        <v>0</v>
      </c>
      <c r="J87" s="23">
        <f t="shared" si="33"/>
        <v>824</v>
      </c>
      <c r="K87" s="26">
        <v>824</v>
      </c>
      <c r="L87" s="26">
        <v>0</v>
      </c>
      <c r="M87" s="26">
        <v>0</v>
      </c>
      <c r="N87" s="26">
        <v>0</v>
      </c>
      <c r="O87" s="23">
        <f t="shared" si="34"/>
        <v>0</v>
      </c>
      <c r="P87" s="23">
        <v>0</v>
      </c>
      <c r="Q87" s="23">
        <v>0</v>
      </c>
      <c r="R87" s="23">
        <v>0</v>
      </c>
      <c r="S87" s="23">
        <v>0</v>
      </c>
      <c r="T87" s="23">
        <f t="shared" si="35"/>
        <v>1970</v>
      </c>
      <c r="U87" s="23">
        <v>1970</v>
      </c>
      <c r="V87" s="23">
        <v>0</v>
      </c>
      <c r="W87" s="23">
        <v>0</v>
      </c>
      <c r="X87" s="23">
        <v>0</v>
      </c>
      <c r="Y87" s="23">
        <f t="shared" si="36"/>
        <v>0</v>
      </c>
      <c r="Z87" s="26">
        <v>0</v>
      </c>
      <c r="AA87" s="26">
        <v>0</v>
      </c>
      <c r="AB87" s="26">
        <v>0</v>
      </c>
      <c r="AC87" s="26">
        <v>0</v>
      </c>
      <c r="AD87" s="26">
        <f t="shared" si="37"/>
        <v>4521</v>
      </c>
    </row>
    <row r="88" spans="1:31" s="8" customFormat="1" ht="32.25" customHeight="1" x14ac:dyDescent="0.25">
      <c r="A88" s="118"/>
      <c r="B88" s="31" t="s">
        <v>124</v>
      </c>
      <c r="C88" s="118"/>
      <c r="D88" s="52" t="s">
        <v>62</v>
      </c>
      <c r="E88" s="23">
        <f t="shared" si="32"/>
        <v>40</v>
      </c>
      <c r="F88" s="26">
        <f>47-7</f>
        <v>40</v>
      </c>
      <c r="G88" s="26">
        <v>0</v>
      </c>
      <c r="H88" s="26">
        <v>0</v>
      </c>
      <c r="I88" s="26">
        <v>0</v>
      </c>
      <c r="J88" s="23">
        <f t="shared" si="33"/>
        <v>0</v>
      </c>
      <c r="K88" s="26">
        <v>0</v>
      </c>
      <c r="L88" s="26">
        <v>0</v>
      </c>
      <c r="M88" s="26">
        <v>0</v>
      </c>
      <c r="N88" s="26">
        <v>0</v>
      </c>
      <c r="O88" s="23">
        <f t="shared" si="34"/>
        <v>0</v>
      </c>
      <c r="P88" s="23">
        <v>0</v>
      </c>
      <c r="Q88" s="23">
        <v>0</v>
      </c>
      <c r="R88" s="23">
        <v>0</v>
      </c>
      <c r="S88" s="23">
        <v>0</v>
      </c>
      <c r="T88" s="23">
        <f t="shared" si="35"/>
        <v>0</v>
      </c>
      <c r="U88" s="23">
        <v>0</v>
      </c>
      <c r="V88" s="23">
        <v>0</v>
      </c>
      <c r="W88" s="23">
        <v>0</v>
      </c>
      <c r="X88" s="23">
        <v>0</v>
      </c>
      <c r="Y88" s="23">
        <f t="shared" si="36"/>
        <v>0</v>
      </c>
      <c r="Z88" s="26">
        <v>0</v>
      </c>
      <c r="AA88" s="23">
        <v>0</v>
      </c>
      <c r="AB88" s="23">
        <v>0</v>
      </c>
      <c r="AC88" s="23">
        <v>0</v>
      </c>
      <c r="AD88" s="26">
        <f t="shared" si="37"/>
        <v>40</v>
      </c>
    </row>
    <row r="89" spans="1:31" s="8" customFormat="1" ht="32.25" customHeight="1" x14ac:dyDescent="0.25">
      <c r="A89" s="119"/>
      <c r="B89" s="31" t="s">
        <v>116</v>
      </c>
      <c r="C89" s="121"/>
      <c r="D89" s="52" t="s">
        <v>62</v>
      </c>
      <c r="E89" s="23">
        <f t="shared" si="32"/>
        <v>526</v>
      </c>
      <c r="F89" s="26">
        <f>220+306</f>
        <v>526</v>
      </c>
      <c r="G89" s="26">
        <v>0</v>
      </c>
      <c r="H89" s="26">
        <v>0</v>
      </c>
      <c r="I89" s="26">
        <v>0</v>
      </c>
      <c r="J89" s="23">
        <f t="shared" si="33"/>
        <v>0</v>
      </c>
      <c r="K89" s="26">
        <v>0</v>
      </c>
      <c r="L89" s="26">
        <v>0</v>
      </c>
      <c r="M89" s="26">
        <v>0</v>
      </c>
      <c r="N89" s="26">
        <v>0</v>
      </c>
      <c r="O89" s="23">
        <f t="shared" si="34"/>
        <v>0</v>
      </c>
      <c r="P89" s="26">
        <v>0</v>
      </c>
      <c r="Q89" s="26">
        <v>0</v>
      </c>
      <c r="R89" s="26">
        <v>0</v>
      </c>
      <c r="S89" s="26">
        <v>0</v>
      </c>
      <c r="T89" s="23">
        <f t="shared" si="35"/>
        <v>0</v>
      </c>
      <c r="U89" s="26">
        <v>0</v>
      </c>
      <c r="V89" s="26">
        <v>0</v>
      </c>
      <c r="W89" s="26">
        <v>0</v>
      </c>
      <c r="X89" s="26">
        <v>0</v>
      </c>
      <c r="Y89" s="23">
        <f t="shared" si="36"/>
        <v>0</v>
      </c>
      <c r="Z89" s="26">
        <v>0</v>
      </c>
      <c r="AA89" s="26">
        <v>0</v>
      </c>
      <c r="AB89" s="26">
        <v>0</v>
      </c>
      <c r="AC89" s="26">
        <v>0</v>
      </c>
      <c r="AD89" s="26">
        <f t="shared" si="37"/>
        <v>526</v>
      </c>
    </row>
    <row r="90" spans="1:31" s="8" customFormat="1" ht="32.25" customHeight="1" x14ac:dyDescent="0.25">
      <c r="A90" s="119"/>
      <c r="B90" s="31" t="s">
        <v>109</v>
      </c>
      <c r="C90" s="121"/>
      <c r="D90" s="52" t="s">
        <v>62</v>
      </c>
      <c r="E90" s="23">
        <f t="shared" si="32"/>
        <v>500</v>
      </c>
      <c r="F90" s="26">
        <v>500</v>
      </c>
      <c r="G90" s="26">
        <v>0</v>
      </c>
      <c r="H90" s="26">
        <v>0</v>
      </c>
      <c r="I90" s="26">
        <v>0</v>
      </c>
      <c r="J90" s="23">
        <f t="shared" si="33"/>
        <v>0</v>
      </c>
      <c r="K90" s="26">
        <v>0</v>
      </c>
      <c r="L90" s="26">
        <v>0</v>
      </c>
      <c r="M90" s="26">
        <v>0</v>
      </c>
      <c r="N90" s="26">
        <v>0</v>
      </c>
      <c r="O90" s="23">
        <f t="shared" si="34"/>
        <v>0</v>
      </c>
      <c r="P90" s="26">
        <v>0</v>
      </c>
      <c r="Q90" s="26">
        <v>0</v>
      </c>
      <c r="R90" s="26">
        <v>0</v>
      </c>
      <c r="S90" s="26">
        <v>0</v>
      </c>
      <c r="T90" s="23">
        <f t="shared" si="35"/>
        <v>0</v>
      </c>
      <c r="U90" s="26">
        <v>0</v>
      </c>
      <c r="V90" s="26">
        <v>0</v>
      </c>
      <c r="W90" s="26">
        <v>0</v>
      </c>
      <c r="X90" s="26">
        <v>0</v>
      </c>
      <c r="Y90" s="23">
        <f t="shared" si="36"/>
        <v>0</v>
      </c>
      <c r="Z90" s="26">
        <v>0</v>
      </c>
      <c r="AA90" s="26">
        <v>0</v>
      </c>
      <c r="AB90" s="26">
        <v>0</v>
      </c>
      <c r="AC90" s="26">
        <v>0</v>
      </c>
      <c r="AD90" s="26">
        <f t="shared" si="37"/>
        <v>500</v>
      </c>
    </row>
    <row r="91" spans="1:31" s="8" customFormat="1" ht="32.25" customHeight="1" x14ac:dyDescent="0.25">
      <c r="A91" s="119"/>
      <c r="B91" s="31" t="s">
        <v>114</v>
      </c>
      <c r="C91" s="121"/>
      <c r="D91" s="52" t="s">
        <v>62</v>
      </c>
      <c r="E91" s="23">
        <f t="shared" si="32"/>
        <v>50</v>
      </c>
      <c r="F91" s="26">
        <v>50</v>
      </c>
      <c r="G91" s="26">
        <v>0</v>
      </c>
      <c r="H91" s="26">
        <v>0</v>
      </c>
      <c r="I91" s="26">
        <v>0</v>
      </c>
      <c r="J91" s="23">
        <f t="shared" si="33"/>
        <v>0</v>
      </c>
      <c r="K91" s="26">
        <v>0</v>
      </c>
      <c r="L91" s="26">
        <v>0</v>
      </c>
      <c r="M91" s="26">
        <v>0</v>
      </c>
      <c r="N91" s="26">
        <v>0</v>
      </c>
      <c r="O91" s="23">
        <f t="shared" si="34"/>
        <v>0</v>
      </c>
      <c r="P91" s="26">
        <v>0</v>
      </c>
      <c r="Q91" s="26">
        <v>0</v>
      </c>
      <c r="R91" s="26">
        <v>0</v>
      </c>
      <c r="S91" s="26">
        <v>0</v>
      </c>
      <c r="T91" s="23">
        <f t="shared" si="35"/>
        <v>544</v>
      </c>
      <c r="U91" s="26">
        <v>544</v>
      </c>
      <c r="V91" s="26">
        <v>0</v>
      </c>
      <c r="W91" s="26">
        <v>0</v>
      </c>
      <c r="X91" s="26">
        <v>0</v>
      </c>
      <c r="Y91" s="23">
        <f t="shared" si="36"/>
        <v>0</v>
      </c>
      <c r="Z91" s="26">
        <v>0</v>
      </c>
      <c r="AA91" s="26">
        <v>0</v>
      </c>
      <c r="AB91" s="26">
        <v>0</v>
      </c>
      <c r="AC91" s="26">
        <v>0</v>
      </c>
      <c r="AD91" s="26">
        <f t="shared" si="37"/>
        <v>594</v>
      </c>
    </row>
    <row r="92" spans="1:31" s="8" customFormat="1" ht="32.25" customHeight="1" x14ac:dyDescent="0.25">
      <c r="A92" s="119"/>
      <c r="B92" s="31" t="s">
        <v>144</v>
      </c>
      <c r="C92" s="121"/>
      <c r="D92" s="52" t="s">
        <v>62</v>
      </c>
      <c r="E92" s="23">
        <f t="shared" si="32"/>
        <v>0</v>
      </c>
      <c r="F92" s="26">
        <v>0</v>
      </c>
      <c r="G92" s="26">
        <v>0</v>
      </c>
      <c r="H92" s="26">
        <v>0</v>
      </c>
      <c r="I92" s="26">
        <v>0</v>
      </c>
      <c r="J92" s="23">
        <f t="shared" si="33"/>
        <v>0</v>
      </c>
      <c r="K92" s="26">
        <v>0</v>
      </c>
      <c r="L92" s="26">
        <v>0</v>
      </c>
      <c r="M92" s="26">
        <v>0</v>
      </c>
      <c r="N92" s="26">
        <v>0</v>
      </c>
      <c r="O92" s="23">
        <f t="shared" si="34"/>
        <v>250</v>
      </c>
      <c r="P92" s="26">
        <v>250</v>
      </c>
      <c r="Q92" s="26">
        <v>0</v>
      </c>
      <c r="R92" s="26">
        <v>0</v>
      </c>
      <c r="S92" s="26">
        <v>0</v>
      </c>
      <c r="T92" s="23">
        <f t="shared" si="35"/>
        <v>233</v>
      </c>
      <c r="U92" s="26">
        <v>233</v>
      </c>
      <c r="V92" s="26">
        <v>0</v>
      </c>
      <c r="W92" s="26">
        <v>0</v>
      </c>
      <c r="X92" s="26">
        <v>0</v>
      </c>
      <c r="Y92" s="23">
        <f t="shared" si="36"/>
        <v>0</v>
      </c>
      <c r="Z92" s="26">
        <v>0</v>
      </c>
      <c r="AA92" s="26">
        <v>0</v>
      </c>
      <c r="AB92" s="26">
        <v>0</v>
      </c>
      <c r="AC92" s="26">
        <v>0</v>
      </c>
      <c r="AD92" s="26">
        <f t="shared" si="37"/>
        <v>483</v>
      </c>
    </row>
    <row r="93" spans="1:31" s="48" customFormat="1" ht="39" customHeight="1" x14ac:dyDescent="0.25">
      <c r="A93" s="120"/>
      <c r="B93" s="31" t="s">
        <v>185</v>
      </c>
      <c r="C93" s="122"/>
      <c r="D93" s="52" t="s">
        <v>158</v>
      </c>
      <c r="E93" s="23">
        <v>0</v>
      </c>
      <c r="F93" s="23">
        <v>0</v>
      </c>
      <c r="G93" s="23">
        <v>0</v>
      </c>
      <c r="H93" s="23">
        <v>0</v>
      </c>
      <c r="I93" s="23">
        <v>0</v>
      </c>
      <c r="J93" s="23">
        <f t="shared" si="33"/>
        <v>1991</v>
      </c>
      <c r="K93" s="26">
        <v>1991</v>
      </c>
      <c r="L93" s="26">
        <v>0</v>
      </c>
      <c r="M93" s="26">
        <v>0</v>
      </c>
      <c r="N93" s="26">
        <v>0</v>
      </c>
      <c r="O93" s="26">
        <v>0</v>
      </c>
      <c r="P93" s="26">
        <v>0</v>
      </c>
      <c r="Q93" s="26">
        <v>0</v>
      </c>
      <c r="R93" s="26">
        <v>0</v>
      </c>
      <c r="S93" s="26">
        <v>0</v>
      </c>
      <c r="T93" s="26">
        <v>0</v>
      </c>
      <c r="U93" s="26">
        <v>0</v>
      </c>
      <c r="V93" s="26">
        <v>0</v>
      </c>
      <c r="W93" s="26">
        <v>0</v>
      </c>
      <c r="X93" s="26">
        <v>0</v>
      </c>
      <c r="Y93" s="26">
        <v>0</v>
      </c>
      <c r="Z93" s="26">
        <v>0</v>
      </c>
      <c r="AA93" s="26">
        <v>0</v>
      </c>
      <c r="AB93" s="26">
        <v>0</v>
      </c>
      <c r="AC93" s="26">
        <v>0</v>
      </c>
      <c r="AD93" s="26">
        <f t="shared" si="37"/>
        <v>1991</v>
      </c>
    </row>
    <row r="94" spans="1:31" s="8" customFormat="1" ht="120" customHeight="1" x14ac:dyDescent="0.25">
      <c r="A94" s="52" t="s">
        <v>30</v>
      </c>
      <c r="B94" s="24" t="s">
        <v>135</v>
      </c>
      <c r="C94" s="89" t="s">
        <v>180</v>
      </c>
      <c r="D94" s="39">
        <v>2024</v>
      </c>
      <c r="E94" s="23">
        <f t="shared" si="32"/>
        <v>4451</v>
      </c>
      <c r="F94" s="26">
        <f>556-111</f>
        <v>445</v>
      </c>
      <c r="G94" s="23">
        <v>561</v>
      </c>
      <c r="H94" s="23">
        <v>3445</v>
      </c>
      <c r="I94" s="23">
        <v>0</v>
      </c>
      <c r="J94" s="23">
        <f t="shared" si="33"/>
        <v>0</v>
      </c>
      <c r="K94" s="23">
        <v>0</v>
      </c>
      <c r="L94" s="23">
        <v>0</v>
      </c>
      <c r="M94" s="23">
        <v>0</v>
      </c>
      <c r="N94" s="23">
        <v>0</v>
      </c>
      <c r="O94" s="23">
        <f t="shared" si="34"/>
        <v>0</v>
      </c>
      <c r="P94" s="23">
        <v>0</v>
      </c>
      <c r="Q94" s="23">
        <v>0</v>
      </c>
      <c r="R94" s="23">
        <v>0</v>
      </c>
      <c r="S94" s="23">
        <v>0</v>
      </c>
      <c r="T94" s="23">
        <f t="shared" si="35"/>
        <v>0</v>
      </c>
      <c r="U94" s="23">
        <v>0</v>
      </c>
      <c r="V94" s="23">
        <v>0</v>
      </c>
      <c r="W94" s="23">
        <v>0</v>
      </c>
      <c r="X94" s="23">
        <v>0</v>
      </c>
      <c r="Y94" s="23">
        <f t="shared" si="36"/>
        <v>0</v>
      </c>
      <c r="Z94" s="23">
        <v>0</v>
      </c>
      <c r="AA94" s="23">
        <v>0</v>
      </c>
      <c r="AB94" s="23">
        <v>0</v>
      </c>
      <c r="AC94" s="23">
        <v>0</v>
      </c>
      <c r="AD94" s="26">
        <f t="shared" si="37"/>
        <v>4451</v>
      </c>
    </row>
    <row r="95" spans="1:31" s="8" customFormat="1" ht="72.75" customHeight="1" x14ac:dyDescent="0.25">
      <c r="A95" s="96" t="s">
        <v>75</v>
      </c>
      <c r="B95" s="24" t="s">
        <v>140</v>
      </c>
      <c r="C95" s="89" t="s">
        <v>181</v>
      </c>
      <c r="D95" s="39" t="s">
        <v>62</v>
      </c>
      <c r="E95" s="23">
        <f t="shared" si="32"/>
        <v>3022</v>
      </c>
      <c r="F95" s="26">
        <f>2922+70+30</f>
        <v>3022</v>
      </c>
      <c r="G95" s="26">
        <v>0</v>
      </c>
      <c r="H95" s="26">
        <v>0</v>
      </c>
      <c r="I95" s="26">
        <v>0</v>
      </c>
      <c r="J95" s="23">
        <f t="shared" si="33"/>
        <v>3513</v>
      </c>
      <c r="K95" s="26">
        <f>3463+50</f>
        <v>3513</v>
      </c>
      <c r="L95" s="26">
        <v>0</v>
      </c>
      <c r="M95" s="26">
        <v>0</v>
      </c>
      <c r="N95" s="26">
        <v>0</v>
      </c>
      <c r="O95" s="23">
        <f t="shared" si="34"/>
        <v>4112</v>
      </c>
      <c r="P95" s="26">
        <v>4112</v>
      </c>
      <c r="Q95" s="26">
        <v>0</v>
      </c>
      <c r="R95" s="26">
        <v>0</v>
      </c>
      <c r="S95" s="26">
        <v>0</v>
      </c>
      <c r="T95" s="23">
        <f t="shared" si="35"/>
        <v>1355</v>
      </c>
      <c r="U95" s="26">
        <v>1355</v>
      </c>
      <c r="V95" s="26">
        <v>0</v>
      </c>
      <c r="W95" s="26">
        <v>0</v>
      </c>
      <c r="X95" s="26">
        <v>0</v>
      </c>
      <c r="Y95" s="23">
        <f t="shared" si="36"/>
        <v>0</v>
      </c>
      <c r="Z95" s="26">
        <v>0</v>
      </c>
      <c r="AA95" s="26">
        <v>0</v>
      </c>
      <c r="AB95" s="26">
        <v>0</v>
      </c>
      <c r="AC95" s="26">
        <v>0</v>
      </c>
      <c r="AD95" s="26">
        <f t="shared" si="37"/>
        <v>12002</v>
      </c>
    </row>
    <row r="96" spans="1:31" s="8" customFormat="1" ht="75" customHeight="1" x14ac:dyDescent="0.25">
      <c r="A96" s="96"/>
      <c r="B96" s="24" t="s">
        <v>136</v>
      </c>
      <c r="C96" s="89" t="s">
        <v>182</v>
      </c>
      <c r="D96" s="39" t="s">
        <v>80</v>
      </c>
      <c r="E96" s="23">
        <f t="shared" si="32"/>
        <v>0</v>
      </c>
      <c r="F96" s="26">
        <v>0</v>
      </c>
      <c r="G96" s="26">
        <v>0</v>
      </c>
      <c r="H96" s="26">
        <v>0</v>
      </c>
      <c r="I96" s="26">
        <v>0</v>
      </c>
      <c r="J96" s="23">
        <f t="shared" si="33"/>
        <v>0</v>
      </c>
      <c r="K96" s="26">
        <v>0</v>
      </c>
      <c r="L96" s="26">
        <v>0</v>
      </c>
      <c r="M96" s="26">
        <v>0</v>
      </c>
      <c r="N96" s="26">
        <v>0</v>
      </c>
      <c r="O96" s="23">
        <f t="shared" si="34"/>
        <v>0</v>
      </c>
      <c r="P96" s="26">
        <v>0</v>
      </c>
      <c r="Q96" s="26">
        <v>0</v>
      </c>
      <c r="R96" s="26">
        <v>0</v>
      </c>
      <c r="S96" s="26">
        <v>0</v>
      </c>
      <c r="T96" s="23">
        <f t="shared" si="35"/>
        <v>0</v>
      </c>
      <c r="U96" s="26">
        <v>0</v>
      </c>
      <c r="V96" s="26">
        <v>0</v>
      </c>
      <c r="W96" s="26">
        <v>0</v>
      </c>
      <c r="X96" s="26">
        <v>0</v>
      </c>
      <c r="Y96" s="23">
        <f t="shared" si="36"/>
        <v>0</v>
      </c>
      <c r="Z96" s="26">
        <v>0</v>
      </c>
      <c r="AA96" s="26">
        <v>0</v>
      </c>
      <c r="AB96" s="26">
        <v>0</v>
      </c>
      <c r="AC96" s="26">
        <v>0</v>
      </c>
      <c r="AD96" s="26">
        <f t="shared" si="37"/>
        <v>0</v>
      </c>
    </row>
    <row r="97" spans="1:31" s="8" customFormat="1" ht="336.75" customHeight="1" x14ac:dyDescent="0.25">
      <c r="A97" s="51" t="s">
        <v>76</v>
      </c>
      <c r="B97" s="24" t="s">
        <v>32</v>
      </c>
      <c r="C97" s="88" t="s">
        <v>188</v>
      </c>
      <c r="D97" s="25" t="s">
        <v>62</v>
      </c>
      <c r="E97" s="23">
        <f t="shared" si="32"/>
        <v>228557</v>
      </c>
      <c r="F97" s="26">
        <v>0</v>
      </c>
      <c r="G97" s="26">
        <v>0</v>
      </c>
      <c r="H97" s="26">
        <v>0</v>
      </c>
      <c r="I97" s="26">
        <v>228557</v>
      </c>
      <c r="J97" s="23">
        <f t="shared" si="33"/>
        <v>212609</v>
      </c>
      <c r="K97" s="26">
        <v>0</v>
      </c>
      <c r="L97" s="26">
        <v>0</v>
      </c>
      <c r="M97" s="26">
        <v>0</v>
      </c>
      <c r="N97" s="26">
        <v>212609</v>
      </c>
      <c r="O97" s="23">
        <f t="shared" si="34"/>
        <v>206220</v>
      </c>
      <c r="P97" s="26">
        <v>0</v>
      </c>
      <c r="Q97" s="26">
        <v>0</v>
      </c>
      <c r="R97" s="26">
        <v>0</v>
      </c>
      <c r="S97" s="26">
        <v>206220</v>
      </c>
      <c r="T97" s="23">
        <f t="shared" si="35"/>
        <v>206220</v>
      </c>
      <c r="U97" s="26">
        <v>0</v>
      </c>
      <c r="V97" s="26">
        <v>0</v>
      </c>
      <c r="W97" s="26">
        <v>0</v>
      </c>
      <c r="X97" s="26">
        <v>206220</v>
      </c>
      <c r="Y97" s="23">
        <f t="shared" si="36"/>
        <v>151660</v>
      </c>
      <c r="Z97" s="26">
        <v>0</v>
      </c>
      <c r="AA97" s="26">
        <v>0</v>
      </c>
      <c r="AB97" s="26">
        <v>0</v>
      </c>
      <c r="AC97" s="26">
        <v>151660</v>
      </c>
      <c r="AD97" s="26">
        <f t="shared" si="37"/>
        <v>1005266</v>
      </c>
    </row>
    <row r="98" spans="1:31" s="2" customFormat="1" ht="96" customHeight="1" x14ac:dyDescent="0.25">
      <c r="A98" s="52" t="s">
        <v>77</v>
      </c>
      <c r="B98" s="87" t="s">
        <v>183</v>
      </c>
      <c r="C98" s="53" t="s">
        <v>91</v>
      </c>
      <c r="D98" s="25">
        <v>2024</v>
      </c>
      <c r="E98" s="23">
        <f t="shared" si="32"/>
        <v>6000</v>
      </c>
      <c r="F98" s="26">
        <v>6000</v>
      </c>
      <c r="G98" s="26">
        <v>0</v>
      </c>
      <c r="H98" s="26">
        <v>0</v>
      </c>
      <c r="I98" s="26">
        <v>0</v>
      </c>
      <c r="J98" s="23">
        <f t="shared" si="33"/>
        <v>0</v>
      </c>
      <c r="K98" s="26">
        <v>0</v>
      </c>
      <c r="L98" s="26">
        <v>0</v>
      </c>
      <c r="M98" s="26">
        <v>0</v>
      </c>
      <c r="N98" s="26">
        <v>0</v>
      </c>
      <c r="O98" s="23">
        <f t="shared" si="34"/>
        <v>0</v>
      </c>
      <c r="P98" s="26">
        <v>0</v>
      </c>
      <c r="Q98" s="26">
        <v>0</v>
      </c>
      <c r="R98" s="26">
        <v>0</v>
      </c>
      <c r="S98" s="26">
        <v>0</v>
      </c>
      <c r="T98" s="23">
        <f t="shared" si="35"/>
        <v>0</v>
      </c>
      <c r="U98" s="26">
        <v>0</v>
      </c>
      <c r="V98" s="26">
        <v>0</v>
      </c>
      <c r="W98" s="26">
        <v>0</v>
      </c>
      <c r="X98" s="26">
        <v>0</v>
      </c>
      <c r="Y98" s="23">
        <f t="shared" si="36"/>
        <v>0</v>
      </c>
      <c r="Z98" s="26">
        <v>0</v>
      </c>
      <c r="AA98" s="26">
        <v>0</v>
      </c>
      <c r="AB98" s="26">
        <v>0</v>
      </c>
      <c r="AC98" s="26">
        <v>0</v>
      </c>
      <c r="AD98" s="26">
        <f t="shared" si="37"/>
        <v>6000</v>
      </c>
      <c r="AE98" s="8"/>
    </row>
    <row r="99" spans="1:31" s="2" customFormat="1" ht="87.75" customHeight="1" x14ac:dyDescent="0.25">
      <c r="A99" s="116" t="s">
        <v>83</v>
      </c>
      <c r="B99" s="31" t="s">
        <v>190</v>
      </c>
      <c r="C99" s="116" t="s">
        <v>91</v>
      </c>
      <c r="D99" s="25">
        <v>2024</v>
      </c>
      <c r="E99" s="23">
        <f t="shared" si="32"/>
        <v>6583</v>
      </c>
      <c r="F99" s="26">
        <f>6000+1271-344-344</f>
        <v>6583</v>
      </c>
      <c r="G99" s="26">
        <v>0</v>
      </c>
      <c r="H99" s="26">
        <v>0</v>
      </c>
      <c r="I99" s="26">
        <v>0</v>
      </c>
      <c r="J99" s="23">
        <f t="shared" si="33"/>
        <v>0</v>
      </c>
      <c r="K99" s="26">
        <v>0</v>
      </c>
      <c r="L99" s="26">
        <v>0</v>
      </c>
      <c r="M99" s="26">
        <v>0</v>
      </c>
      <c r="N99" s="26">
        <v>0</v>
      </c>
      <c r="O99" s="23">
        <f t="shared" si="34"/>
        <v>0</v>
      </c>
      <c r="P99" s="26">
        <v>0</v>
      </c>
      <c r="Q99" s="26">
        <v>0</v>
      </c>
      <c r="R99" s="26">
        <v>0</v>
      </c>
      <c r="S99" s="26">
        <v>0</v>
      </c>
      <c r="T99" s="23">
        <f t="shared" si="35"/>
        <v>0</v>
      </c>
      <c r="U99" s="26">
        <v>0</v>
      </c>
      <c r="V99" s="26">
        <v>0</v>
      </c>
      <c r="W99" s="26">
        <v>0</v>
      </c>
      <c r="X99" s="26">
        <v>0</v>
      </c>
      <c r="Y99" s="23">
        <f t="shared" si="36"/>
        <v>0</v>
      </c>
      <c r="Z99" s="26">
        <v>0</v>
      </c>
      <c r="AA99" s="26">
        <v>0</v>
      </c>
      <c r="AB99" s="26">
        <v>0</v>
      </c>
      <c r="AC99" s="26">
        <v>0</v>
      </c>
      <c r="AD99" s="26">
        <f t="shared" si="37"/>
        <v>6583</v>
      </c>
      <c r="AE99" s="8"/>
    </row>
    <row r="100" spans="1:31" s="30" customFormat="1" ht="35.25" customHeight="1" x14ac:dyDescent="0.25">
      <c r="A100" s="117"/>
      <c r="B100" s="75" t="s">
        <v>164</v>
      </c>
      <c r="C100" s="117"/>
      <c r="D100" s="78">
        <v>2025</v>
      </c>
      <c r="E100" s="27">
        <v>0</v>
      </c>
      <c r="F100" s="28">
        <v>0</v>
      </c>
      <c r="G100" s="28">
        <v>0</v>
      </c>
      <c r="H100" s="28">
        <v>0</v>
      </c>
      <c r="I100" s="28">
        <v>0</v>
      </c>
      <c r="J100" s="27">
        <f t="shared" si="33"/>
        <v>6500</v>
      </c>
      <c r="K100" s="28">
        <v>6500</v>
      </c>
      <c r="L100" s="28">
        <v>0</v>
      </c>
      <c r="M100" s="28">
        <v>0</v>
      </c>
      <c r="N100" s="28">
        <v>0</v>
      </c>
      <c r="O100" s="27">
        <v>0</v>
      </c>
      <c r="P100" s="28">
        <v>0</v>
      </c>
      <c r="Q100" s="28">
        <v>0</v>
      </c>
      <c r="R100" s="28">
        <v>0</v>
      </c>
      <c r="S100" s="28">
        <v>0</v>
      </c>
      <c r="T100" s="27">
        <v>0</v>
      </c>
      <c r="U100" s="28">
        <v>0</v>
      </c>
      <c r="V100" s="28">
        <v>0</v>
      </c>
      <c r="W100" s="28">
        <v>0</v>
      </c>
      <c r="X100" s="28">
        <v>0</v>
      </c>
      <c r="Y100" s="27">
        <v>0</v>
      </c>
      <c r="Z100" s="28">
        <v>0</v>
      </c>
      <c r="AA100" s="28">
        <v>0</v>
      </c>
      <c r="AB100" s="28">
        <v>0</v>
      </c>
      <c r="AC100" s="28">
        <v>0</v>
      </c>
      <c r="AD100" s="28">
        <f t="shared" si="37"/>
        <v>6500</v>
      </c>
    </row>
    <row r="101" spans="1:31" s="8" customFormat="1" ht="87.75" customHeight="1" x14ac:dyDescent="0.25">
      <c r="A101" s="52" t="s">
        <v>130</v>
      </c>
      <c r="B101" s="31" t="s">
        <v>137</v>
      </c>
      <c r="C101" s="53" t="s">
        <v>157</v>
      </c>
      <c r="D101" s="25">
        <v>2024</v>
      </c>
      <c r="E101" s="23">
        <f t="shared" si="32"/>
        <v>8000</v>
      </c>
      <c r="F101" s="26">
        <v>0</v>
      </c>
      <c r="G101" s="26">
        <v>1120</v>
      </c>
      <c r="H101" s="26">
        <v>6880</v>
      </c>
      <c r="I101" s="26">
        <v>0</v>
      </c>
      <c r="J101" s="23">
        <f t="shared" si="33"/>
        <v>0</v>
      </c>
      <c r="K101" s="23">
        <v>0</v>
      </c>
      <c r="L101" s="23">
        <v>0</v>
      </c>
      <c r="M101" s="23">
        <v>0</v>
      </c>
      <c r="N101" s="23">
        <v>0</v>
      </c>
      <c r="O101" s="23">
        <f t="shared" si="34"/>
        <v>0</v>
      </c>
      <c r="P101" s="23">
        <v>0</v>
      </c>
      <c r="Q101" s="23">
        <v>0</v>
      </c>
      <c r="R101" s="23">
        <v>0</v>
      </c>
      <c r="S101" s="23">
        <v>0</v>
      </c>
      <c r="T101" s="23">
        <v>0</v>
      </c>
      <c r="U101" s="23">
        <v>0</v>
      </c>
      <c r="V101" s="23">
        <v>0</v>
      </c>
      <c r="W101" s="23">
        <v>0</v>
      </c>
      <c r="X101" s="23">
        <v>0</v>
      </c>
      <c r="Y101" s="23">
        <v>0</v>
      </c>
      <c r="Z101" s="23">
        <v>0</v>
      </c>
      <c r="AA101" s="23">
        <v>0</v>
      </c>
      <c r="AB101" s="23">
        <v>0</v>
      </c>
      <c r="AC101" s="23">
        <v>0</v>
      </c>
      <c r="AD101" s="26">
        <f t="shared" si="37"/>
        <v>8000</v>
      </c>
    </row>
    <row r="102" spans="1:31" s="8" customFormat="1" ht="138.75" customHeight="1" x14ac:dyDescent="0.25">
      <c r="A102" s="52" t="s">
        <v>132</v>
      </c>
      <c r="B102" s="31" t="s">
        <v>142</v>
      </c>
      <c r="C102" s="88" t="s">
        <v>184</v>
      </c>
      <c r="D102" s="25">
        <v>2024</v>
      </c>
      <c r="E102" s="23">
        <f t="shared" si="32"/>
        <v>7150</v>
      </c>
      <c r="F102" s="26">
        <v>7150</v>
      </c>
      <c r="G102" s="26">
        <v>0</v>
      </c>
      <c r="H102" s="26">
        <v>0</v>
      </c>
      <c r="I102" s="26">
        <v>0</v>
      </c>
      <c r="J102" s="23">
        <f t="shared" si="33"/>
        <v>0</v>
      </c>
      <c r="K102" s="23">
        <v>0</v>
      </c>
      <c r="L102" s="23">
        <v>0</v>
      </c>
      <c r="M102" s="23">
        <v>0</v>
      </c>
      <c r="N102" s="23">
        <v>0</v>
      </c>
      <c r="O102" s="23">
        <f t="shared" si="34"/>
        <v>0</v>
      </c>
      <c r="P102" s="23">
        <v>0</v>
      </c>
      <c r="Q102" s="23">
        <v>0</v>
      </c>
      <c r="R102" s="23">
        <v>0</v>
      </c>
      <c r="S102" s="23">
        <v>0</v>
      </c>
      <c r="T102" s="23">
        <v>0</v>
      </c>
      <c r="U102" s="23">
        <v>0</v>
      </c>
      <c r="V102" s="23">
        <v>0</v>
      </c>
      <c r="W102" s="23">
        <v>0</v>
      </c>
      <c r="X102" s="23">
        <v>0</v>
      </c>
      <c r="Y102" s="23">
        <v>0</v>
      </c>
      <c r="Z102" s="23">
        <v>0</v>
      </c>
      <c r="AA102" s="23">
        <v>0</v>
      </c>
      <c r="AB102" s="23">
        <v>0</v>
      </c>
      <c r="AC102" s="23">
        <v>0</v>
      </c>
      <c r="AD102" s="26">
        <f t="shared" si="37"/>
        <v>7150</v>
      </c>
    </row>
    <row r="103" spans="1:31" s="43" customFormat="1" ht="120" customHeight="1" x14ac:dyDescent="0.25">
      <c r="A103" s="45" t="s">
        <v>149</v>
      </c>
      <c r="B103" s="46" t="s">
        <v>146</v>
      </c>
      <c r="C103" s="88" t="s">
        <v>185</v>
      </c>
      <c r="D103" s="25" t="s">
        <v>145</v>
      </c>
      <c r="E103" s="23">
        <v>0</v>
      </c>
      <c r="F103" s="23">
        <v>0</v>
      </c>
      <c r="G103" s="23">
        <v>0</v>
      </c>
      <c r="H103" s="23">
        <v>0</v>
      </c>
      <c r="I103" s="23">
        <v>0</v>
      </c>
      <c r="J103" s="23">
        <f t="shared" si="33"/>
        <v>59809</v>
      </c>
      <c r="K103" s="23">
        <v>2991</v>
      </c>
      <c r="L103" s="23">
        <v>6818</v>
      </c>
      <c r="M103" s="23">
        <v>50000</v>
      </c>
      <c r="N103" s="23">
        <v>0</v>
      </c>
      <c r="O103" s="23">
        <f t="shared" si="34"/>
        <v>161739</v>
      </c>
      <c r="P103" s="23">
        <f>7835+252</f>
        <v>8087</v>
      </c>
      <c r="Q103" s="23">
        <v>22648</v>
      </c>
      <c r="R103" s="23">
        <v>131004</v>
      </c>
      <c r="S103" s="23">
        <v>0</v>
      </c>
      <c r="T103" s="23">
        <v>0</v>
      </c>
      <c r="U103" s="23">
        <v>0</v>
      </c>
      <c r="V103" s="23">
        <v>0</v>
      </c>
      <c r="W103" s="23">
        <v>0</v>
      </c>
      <c r="X103" s="23">
        <v>0</v>
      </c>
      <c r="Y103" s="23">
        <v>0</v>
      </c>
      <c r="Z103" s="23">
        <v>0</v>
      </c>
      <c r="AA103" s="23">
        <v>0</v>
      </c>
      <c r="AB103" s="23">
        <v>0</v>
      </c>
      <c r="AC103" s="23">
        <v>0</v>
      </c>
      <c r="AD103" s="26">
        <f t="shared" si="37"/>
        <v>221548</v>
      </c>
    </row>
    <row r="104" spans="1:31" s="48" customFormat="1" ht="137.25" customHeight="1" x14ac:dyDescent="0.25">
      <c r="A104" s="45" t="s">
        <v>150</v>
      </c>
      <c r="B104" s="46" t="s">
        <v>156</v>
      </c>
      <c r="C104" s="53" t="s">
        <v>97</v>
      </c>
      <c r="D104" s="25">
        <v>2025</v>
      </c>
      <c r="E104" s="23">
        <v>0</v>
      </c>
      <c r="F104" s="23">
        <v>0</v>
      </c>
      <c r="G104" s="23">
        <v>0</v>
      </c>
      <c r="H104" s="23">
        <v>0</v>
      </c>
      <c r="I104" s="23">
        <v>0</v>
      </c>
      <c r="J104" s="27">
        <f t="shared" si="33"/>
        <v>38062</v>
      </c>
      <c r="K104" s="27">
        <f>1612+6678-858</f>
        <v>7432</v>
      </c>
      <c r="L104" s="23">
        <v>3676</v>
      </c>
      <c r="M104" s="23">
        <v>26954</v>
      </c>
      <c r="N104" s="23">
        <v>0</v>
      </c>
      <c r="O104" s="23">
        <v>0</v>
      </c>
      <c r="P104" s="23">
        <v>0</v>
      </c>
      <c r="Q104" s="23">
        <v>0</v>
      </c>
      <c r="R104" s="23">
        <v>0</v>
      </c>
      <c r="S104" s="23">
        <v>0</v>
      </c>
      <c r="T104" s="23">
        <v>0</v>
      </c>
      <c r="U104" s="23">
        <v>0</v>
      </c>
      <c r="V104" s="23">
        <v>0</v>
      </c>
      <c r="W104" s="23">
        <v>0</v>
      </c>
      <c r="X104" s="23">
        <v>0</v>
      </c>
      <c r="Y104" s="23">
        <v>0</v>
      </c>
      <c r="Z104" s="23">
        <v>0</v>
      </c>
      <c r="AA104" s="23">
        <v>0</v>
      </c>
      <c r="AB104" s="23">
        <v>0</v>
      </c>
      <c r="AC104" s="23">
        <v>0</v>
      </c>
      <c r="AD104" s="26">
        <f t="shared" si="37"/>
        <v>38062</v>
      </c>
    </row>
    <row r="105" spans="1:31" s="48" customFormat="1" ht="115.5" customHeight="1" x14ac:dyDescent="0.25">
      <c r="A105" s="45" t="s">
        <v>151</v>
      </c>
      <c r="B105" s="46" t="s">
        <v>155</v>
      </c>
      <c r="C105" s="53" t="s">
        <v>153</v>
      </c>
      <c r="D105" s="25">
        <v>2025</v>
      </c>
      <c r="E105" s="23">
        <v>0</v>
      </c>
      <c r="F105" s="23">
        <v>0</v>
      </c>
      <c r="G105" s="23">
        <v>0</v>
      </c>
      <c r="H105" s="23">
        <v>0</v>
      </c>
      <c r="I105" s="23">
        <v>0</v>
      </c>
      <c r="J105" s="23">
        <f t="shared" si="33"/>
        <v>2704</v>
      </c>
      <c r="K105" s="23">
        <v>135</v>
      </c>
      <c r="L105" s="23">
        <v>308</v>
      </c>
      <c r="M105" s="23">
        <v>2261</v>
      </c>
      <c r="N105" s="23">
        <v>0</v>
      </c>
      <c r="O105" s="23">
        <v>0</v>
      </c>
      <c r="P105" s="23">
        <v>0</v>
      </c>
      <c r="Q105" s="23">
        <v>0</v>
      </c>
      <c r="R105" s="23">
        <v>0</v>
      </c>
      <c r="S105" s="23">
        <v>0</v>
      </c>
      <c r="T105" s="23">
        <v>0</v>
      </c>
      <c r="U105" s="23">
        <v>0</v>
      </c>
      <c r="V105" s="23">
        <v>0</v>
      </c>
      <c r="W105" s="23">
        <v>0</v>
      </c>
      <c r="X105" s="23">
        <v>0</v>
      </c>
      <c r="Y105" s="23">
        <v>0</v>
      </c>
      <c r="Z105" s="23">
        <v>0</v>
      </c>
      <c r="AA105" s="23">
        <v>0</v>
      </c>
      <c r="AB105" s="23">
        <v>0</v>
      </c>
      <c r="AC105" s="23">
        <v>0</v>
      </c>
      <c r="AD105" s="26">
        <f t="shared" si="37"/>
        <v>2704</v>
      </c>
    </row>
    <row r="106" spans="1:31" s="48" customFormat="1" ht="115.5" customHeight="1" x14ac:dyDescent="0.25">
      <c r="A106" s="45" t="s">
        <v>152</v>
      </c>
      <c r="B106" s="46" t="s">
        <v>154</v>
      </c>
      <c r="C106" s="53" t="s">
        <v>118</v>
      </c>
      <c r="D106" s="25">
        <v>2025</v>
      </c>
      <c r="E106" s="23">
        <v>0</v>
      </c>
      <c r="F106" s="23">
        <v>0</v>
      </c>
      <c r="G106" s="23">
        <v>0</v>
      </c>
      <c r="H106" s="23">
        <v>0</v>
      </c>
      <c r="I106" s="23">
        <v>0</v>
      </c>
      <c r="J106" s="27">
        <f t="shared" si="33"/>
        <v>8000</v>
      </c>
      <c r="K106" s="23">
        <v>0</v>
      </c>
      <c r="L106" s="27">
        <v>960</v>
      </c>
      <c r="M106" s="27">
        <v>7040</v>
      </c>
      <c r="N106" s="23">
        <v>0</v>
      </c>
      <c r="O106" s="23">
        <v>0</v>
      </c>
      <c r="P106" s="23">
        <v>0</v>
      </c>
      <c r="Q106" s="23">
        <v>0</v>
      </c>
      <c r="R106" s="23">
        <v>0</v>
      </c>
      <c r="S106" s="23">
        <v>0</v>
      </c>
      <c r="T106" s="23">
        <v>0</v>
      </c>
      <c r="U106" s="23">
        <v>0</v>
      </c>
      <c r="V106" s="23">
        <v>0</v>
      </c>
      <c r="W106" s="23">
        <v>0</v>
      </c>
      <c r="X106" s="23">
        <v>0</v>
      </c>
      <c r="Y106" s="23">
        <v>0</v>
      </c>
      <c r="Z106" s="23">
        <v>0</v>
      </c>
      <c r="AA106" s="23">
        <v>0</v>
      </c>
      <c r="AB106" s="23">
        <v>0</v>
      </c>
      <c r="AC106" s="23">
        <v>0</v>
      </c>
      <c r="AD106" s="26">
        <f t="shared" si="37"/>
        <v>8000</v>
      </c>
    </row>
    <row r="107" spans="1:31" s="4" customFormat="1" ht="42.75" customHeight="1" x14ac:dyDescent="0.25">
      <c r="A107" s="40"/>
      <c r="B107" s="80" t="s">
        <v>162</v>
      </c>
      <c r="C107" s="68"/>
      <c r="D107" s="42"/>
      <c r="E107" s="38">
        <f>SUM(E35:E102)</f>
        <v>313018</v>
      </c>
      <c r="F107" s="38">
        <f>SUM(F35:F102)</f>
        <v>72455</v>
      </c>
      <c r="G107" s="38">
        <f>SUM(G35:G102)</f>
        <v>1681</v>
      </c>
      <c r="H107" s="38">
        <f>SUM(H35:H102)</f>
        <v>10325</v>
      </c>
      <c r="I107" s="38">
        <f>SUM(I35:I102)</f>
        <v>228557</v>
      </c>
      <c r="J107" s="79">
        <f>SUM(J35:J106)-J100</f>
        <v>417409</v>
      </c>
      <c r="K107" s="79">
        <f>SUM(K35:K106)-K100</f>
        <v>106783</v>
      </c>
      <c r="L107" s="38">
        <f>SUM(L35:L106)</f>
        <v>11762</v>
      </c>
      <c r="M107" s="38">
        <f>SUM(M35:M106)</f>
        <v>86255</v>
      </c>
      <c r="N107" s="38">
        <f>SUM(N35:N106)</f>
        <v>212609</v>
      </c>
      <c r="O107" s="79">
        <f t="shared" ref="O107:S107" si="38">SUM(O35:O104)</f>
        <v>416282</v>
      </c>
      <c r="P107" s="79">
        <f>SUM(P35:P106)</f>
        <v>56410</v>
      </c>
      <c r="Q107" s="38">
        <f t="shared" si="38"/>
        <v>22648</v>
      </c>
      <c r="R107" s="38">
        <f t="shared" si="38"/>
        <v>131004</v>
      </c>
      <c r="S107" s="38">
        <f t="shared" si="38"/>
        <v>206220</v>
      </c>
      <c r="T107" s="38">
        <f>SUM(T35:T103)</f>
        <v>225935</v>
      </c>
      <c r="U107" s="38">
        <f>SUM(U35:U103)</f>
        <v>19715</v>
      </c>
      <c r="V107" s="38">
        <f>SUM(V35:V99)</f>
        <v>0</v>
      </c>
      <c r="W107" s="38">
        <f>SUM(W35:W99)</f>
        <v>0</v>
      </c>
      <c r="X107" s="38">
        <f>SUM(X35:X103)</f>
        <v>206220</v>
      </c>
      <c r="Y107" s="38">
        <f>SUM(Y35:Y103)</f>
        <v>170670</v>
      </c>
      <c r="Z107" s="38">
        <f>SUM(Z35:Z103)</f>
        <v>19010</v>
      </c>
      <c r="AA107" s="38">
        <f>SUM(AA35:AA99)</f>
        <v>0</v>
      </c>
      <c r="AB107" s="38">
        <f>SUM(AB35:AB99)</f>
        <v>0</v>
      </c>
      <c r="AC107" s="38">
        <f>SUM(AC35:AC99)</f>
        <v>151660</v>
      </c>
      <c r="AD107" s="73">
        <f t="shared" si="37"/>
        <v>1543314</v>
      </c>
    </row>
    <row r="108" spans="1:31" s="84" customFormat="1" ht="42.75" customHeight="1" x14ac:dyDescent="0.25">
      <c r="A108" s="81"/>
      <c r="B108" s="80" t="s">
        <v>163</v>
      </c>
      <c r="C108" s="82"/>
      <c r="D108" s="83"/>
      <c r="E108" s="79">
        <v>0</v>
      </c>
      <c r="F108" s="79">
        <v>0</v>
      </c>
      <c r="G108" s="79">
        <v>0</v>
      </c>
      <c r="H108" s="79">
        <v>0</v>
      </c>
      <c r="I108" s="79">
        <v>0</v>
      </c>
      <c r="J108" s="79">
        <f>J100</f>
        <v>6500</v>
      </c>
      <c r="K108" s="79">
        <f>K100</f>
        <v>6500</v>
      </c>
      <c r="L108" s="38">
        <v>0</v>
      </c>
      <c r="M108" s="38">
        <v>0</v>
      </c>
      <c r="N108" s="38">
        <v>0</v>
      </c>
      <c r="O108" s="79">
        <v>0</v>
      </c>
      <c r="P108" s="79">
        <v>0</v>
      </c>
      <c r="Q108" s="79">
        <v>0</v>
      </c>
      <c r="R108" s="79">
        <v>0</v>
      </c>
      <c r="S108" s="79">
        <v>0</v>
      </c>
      <c r="T108" s="79">
        <v>0</v>
      </c>
      <c r="U108" s="79">
        <v>0</v>
      </c>
      <c r="V108" s="79">
        <v>0</v>
      </c>
      <c r="W108" s="79">
        <v>0</v>
      </c>
      <c r="X108" s="79">
        <v>0</v>
      </c>
      <c r="Y108" s="79">
        <v>0</v>
      </c>
      <c r="Z108" s="79">
        <v>0</v>
      </c>
      <c r="AA108" s="79">
        <v>0</v>
      </c>
      <c r="AB108" s="79">
        <v>0</v>
      </c>
      <c r="AC108" s="79">
        <v>0</v>
      </c>
      <c r="AD108" s="73">
        <f t="shared" si="37"/>
        <v>6500</v>
      </c>
    </row>
    <row r="109" spans="1:31" s="1" customFormat="1" ht="40.15" customHeight="1" x14ac:dyDescent="0.25">
      <c r="A109" s="50"/>
      <c r="B109" s="99" t="s">
        <v>72</v>
      </c>
      <c r="C109" s="100"/>
      <c r="D109" s="55"/>
      <c r="E109" s="23"/>
      <c r="F109" s="23"/>
      <c r="G109" s="23"/>
      <c r="H109" s="23"/>
      <c r="I109" s="23"/>
      <c r="J109" s="26"/>
      <c r="K109" s="26"/>
      <c r="L109" s="26"/>
      <c r="M109" s="26"/>
      <c r="N109" s="26"/>
      <c r="O109" s="23"/>
      <c r="P109" s="26"/>
      <c r="Q109" s="23"/>
      <c r="R109" s="23"/>
      <c r="S109" s="23"/>
      <c r="T109" s="26"/>
      <c r="U109" s="26"/>
      <c r="V109" s="23"/>
      <c r="W109" s="23"/>
      <c r="X109" s="26"/>
      <c r="Y109" s="26"/>
      <c r="Z109" s="26"/>
      <c r="AA109" s="26"/>
      <c r="AB109" s="26"/>
      <c r="AC109" s="26"/>
      <c r="AD109" s="26"/>
      <c r="AE109" s="6"/>
    </row>
    <row r="110" spans="1:31" s="1" customFormat="1" ht="106.5" customHeight="1" x14ac:dyDescent="0.25">
      <c r="A110" s="50" t="s">
        <v>9</v>
      </c>
      <c r="B110" s="64" t="s">
        <v>73</v>
      </c>
      <c r="C110" s="88" t="s">
        <v>186</v>
      </c>
      <c r="D110" s="25" t="s">
        <v>62</v>
      </c>
      <c r="E110" s="23">
        <f t="shared" ref="E110:E112" si="39">SUM(F110:I110)</f>
        <v>0</v>
      </c>
      <c r="F110" s="23">
        <v>0</v>
      </c>
      <c r="G110" s="23">
        <v>0</v>
      </c>
      <c r="H110" s="23">
        <v>0</v>
      </c>
      <c r="I110" s="23">
        <v>0</v>
      </c>
      <c r="J110" s="23">
        <f t="shared" ref="J110:J111" si="40">SUM(K110:N110)</f>
        <v>0</v>
      </c>
      <c r="K110" s="26">
        <v>0</v>
      </c>
      <c r="L110" s="26">
        <v>0</v>
      </c>
      <c r="M110" s="26">
        <v>0</v>
      </c>
      <c r="N110" s="26">
        <v>0</v>
      </c>
      <c r="O110" s="23">
        <f t="shared" ref="O110:O112" si="41">SUM(P110:S110)</f>
        <v>0</v>
      </c>
      <c r="P110" s="26">
        <v>0</v>
      </c>
      <c r="Q110" s="26">
        <v>0</v>
      </c>
      <c r="R110" s="26">
        <v>0</v>
      </c>
      <c r="S110" s="26">
        <v>0</v>
      </c>
      <c r="T110" s="23">
        <f t="shared" ref="T110:T112" si="42">SUM(U110:X110)</f>
        <v>0</v>
      </c>
      <c r="U110" s="26">
        <v>0</v>
      </c>
      <c r="V110" s="23">
        <v>0</v>
      </c>
      <c r="W110" s="23">
        <v>0</v>
      </c>
      <c r="X110" s="23">
        <v>0</v>
      </c>
      <c r="Y110" s="23">
        <f t="shared" ref="Y110:Y112" si="43">SUM(Z110:AC110)</f>
        <v>0</v>
      </c>
      <c r="Z110" s="26">
        <v>0</v>
      </c>
      <c r="AA110" s="23">
        <v>0</v>
      </c>
      <c r="AB110" s="23">
        <v>0</v>
      </c>
      <c r="AC110" s="23">
        <v>0</v>
      </c>
      <c r="AD110" s="26">
        <f t="shared" ref="AD110:AD112" si="44">SUM(Y110,T110,O110,J110,E110)</f>
        <v>0</v>
      </c>
      <c r="AE110" s="6"/>
    </row>
    <row r="111" spans="1:31" s="1" customFormat="1" ht="351.75" customHeight="1" x14ac:dyDescent="0.25">
      <c r="A111" s="50" t="s">
        <v>10</v>
      </c>
      <c r="B111" s="64" t="s">
        <v>74</v>
      </c>
      <c r="C111" s="127" t="s">
        <v>187</v>
      </c>
      <c r="D111" s="25" t="s">
        <v>62</v>
      </c>
      <c r="E111" s="23">
        <f t="shared" si="39"/>
        <v>0</v>
      </c>
      <c r="F111" s="23">
        <v>0</v>
      </c>
      <c r="G111" s="23">
        <v>0</v>
      </c>
      <c r="H111" s="23">
        <v>0</v>
      </c>
      <c r="I111" s="23">
        <v>0</v>
      </c>
      <c r="J111" s="23">
        <f t="shared" si="40"/>
        <v>0</v>
      </c>
      <c r="K111" s="26">
        <v>0</v>
      </c>
      <c r="L111" s="26">
        <v>0</v>
      </c>
      <c r="M111" s="26">
        <v>0</v>
      </c>
      <c r="N111" s="26">
        <v>0</v>
      </c>
      <c r="O111" s="23">
        <f t="shared" si="41"/>
        <v>0</v>
      </c>
      <c r="P111" s="26">
        <v>0</v>
      </c>
      <c r="Q111" s="26">
        <v>0</v>
      </c>
      <c r="R111" s="26">
        <v>0</v>
      </c>
      <c r="S111" s="26">
        <v>0</v>
      </c>
      <c r="T111" s="23">
        <f t="shared" si="42"/>
        <v>0</v>
      </c>
      <c r="U111" s="23">
        <v>0</v>
      </c>
      <c r="V111" s="23">
        <v>0</v>
      </c>
      <c r="W111" s="23">
        <v>0</v>
      </c>
      <c r="X111" s="23">
        <v>0</v>
      </c>
      <c r="Y111" s="23">
        <f t="shared" si="43"/>
        <v>0</v>
      </c>
      <c r="Z111" s="23">
        <v>0</v>
      </c>
      <c r="AA111" s="23">
        <v>0</v>
      </c>
      <c r="AB111" s="23">
        <v>0</v>
      </c>
      <c r="AC111" s="23">
        <v>0</v>
      </c>
      <c r="AD111" s="26">
        <f>SUM(Y111,T111,O111,J111,E111)</f>
        <v>0</v>
      </c>
      <c r="AE111" s="6"/>
    </row>
    <row r="112" spans="1:31" s="1" customFormat="1" ht="152.25" customHeight="1" x14ac:dyDescent="0.25">
      <c r="A112" s="50" t="s">
        <v>31</v>
      </c>
      <c r="B112" s="31" t="s">
        <v>92</v>
      </c>
      <c r="C112" s="88" t="s">
        <v>191</v>
      </c>
      <c r="D112" s="25" t="s">
        <v>62</v>
      </c>
      <c r="E112" s="23">
        <f t="shared" si="39"/>
        <v>0</v>
      </c>
      <c r="F112" s="23">
        <v>0</v>
      </c>
      <c r="G112" s="23">
        <v>0</v>
      </c>
      <c r="H112" s="23">
        <v>0</v>
      </c>
      <c r="I112" s="23">
        <v>0</v>
      </c>
      <c r="J112" s="23">
        <f>SUM(K112:N112)</f>
        <v>0</v>
      </c>
      <c r="K112" s="23">
        <v>0</v>
      </c>
      <c r="L112" s="23">
        <v>0</v>
      </c>
      <c r="M112" s="23">
        <v>0</v>
      </c>
      <c r="N112" s="23">
        <v>0</v>
      </c>
      <c r="O112" s="23">
        <f t="shared" si="41"/>
        <v>0</v>
      </c>
      <c r="P112" s="23">
        <v>0</v>
      </c>
      <c r="Q112" s="23">
        <v>0</v>
      </c>
      <c r="R112" s="23">
        <v>0</v>
      </c>
      <c r="S112" s="23">
        <v>0</v>
      </c>
      <c r="T112" s="23">
        <f t="shared" si="42"/>
        <v>0</v>
      </c>
      <c r="U112" s="23">
        <v>0</v>
      </c>
      <c r="V112" s="23">
        <v>0</v>
      </c>
      <c r="W112" s="23">
        <v>0</v>
      </c>
      <c r="X112" s="23">
        <v>0</v>
      </c>
      <c r="Y112" s="23">
        <f t="shared" si="43"/>
        <v>0</v>
      </c>
      <c r="Z112" s="23">
        <v>0</v>
      </c>
      <c r="AA112" s="23">
        <v>0</v>
      </c>
      <c r="AB112" s="23">
        <v>0</v>
      </c>
      <c r="AC112" s="23">
        <v>0</v>
      </c>
      <c r="AD112" s="26">
        <f t="shared" si="44"/>
        <v>0</v>
      </c>
      <c r="AE112" s="6"/>
    </row>
    <row r="113" spans="1:31" s="3" customFormat="1" ht="36.75" customHeight="1" x14ac:dyDescent="0.25">
      <c r="A113" s="65"/>
      <c r="B113" s="41" t="s">
        <v>24</v>
      </c>
      <c r="C113" s="57"/>
      <c r="D113" s="66"/>
      <c r="E113" s="38">
        <f>SUM(F113:I113)</f>
        <v>0</v>
      </c>
      <c r="F113" s="38">
        <f t="shared" ref="F113:N113" si="45">SUM(F110:F112)</f>
        <v>0</v>
      </c>
      <c r="G113" s="38">
        <f t="shared" si="45"/>
        <v>0</v>
      </c>
      <c r="H113" s="38">
        <f t="shared" si="45"/>
        <v>0</v>
      </c>
      <c r="I113" s="38">
        <f t="shared" si="45"/>
        <v>0</v>
      </c>
      <c r="J113" s="38">
        <f t="shared" si="45"/>
        <v>0</v>
      </c>
      <c r="K113" s="38">
        <f t="shared" si="45"/>
        <v>0</v>
      </c>
      <c r="L113" s="38">
        <f t="shared" si="45"/>
        <v>0</v>
      </c>
      <c r="M113" s="38">
        <f t="shared" si="45"/>
        <v>0</v>
      </c>
      <c r="N113" s="38">
        <f t="shared" si="45"/>
        <v>0</v>
      </c>
      <c r="O113" s="38">
        <f>SUM(P113:S113)</f>
        <v>0</v>
      </c>
      <c r="P113" s="38">
        <f>SUM(P110:P112)</f>
        <v>0</v>
      </c>
      <c r="Q113" s="38">
        <f>SUM(Q110:Q112)</f>
        <v>0</v>
      </c>
      <c r="R113" s="38">
        <f>SUM(R110:R112)</f>
        <v>0</v>
      </c>
      <c r="S113" s="38">
        <f>SUM(S110:S112)</f>
        <v>0</v>
      </c>
      <c r="T113" s="38">
        <f>SUM(U113:X113)</f>
        <v>0</v>
      </c>
      <c r="U113" s="67">
        <f t="shared" ref="U113:AC113" si="46">SUM(U110:U112)</f>
        <v>0</v>
      </c>
      <c r="V113" s="38">
        <f t="shared" si="46"/>
        <v>0</v>
      </c>
      <c r="W113" s="38">
        <f t="shared" si="46"/>
        <v>0</v>
      </c>
      <c r="X113" s="38">
        <f t="shared" si="46"/>
        <v>0</v>
      </c>
      <c r="Y113" s="38">
        <f t="shared" si="46"/>
        <v>0</v>
      </c>
      <c r="Z113" s="38">
        <f t="shared" si="46"/>
        <v>0</v>
      </c>
      <c r="AA113" s="38">
        <f t="shared" si="46"/>
        <v>0</v>
      </c>
      <c r="AB113" s="38">
        <f t="shared" si="46"/>
        <v>0</v>
      </c>
      <c r="AC113" s="38">
        <f t="shared" si="46"/>
        <v>0</v>
      </c>
      <c r="AD113" s="26">
        <f>SUM(Y113,T113,O113,J113,E113)</f>
        <v>0</v>
      </c>
      <c r="AE113" s="4"/>
    </row>
    <row r="114" spans="1:31" s="13" customFormat="1" ht="46.5" customHeight="1" x14ac:dyDescent="0.25">
      <c r="A114" s="66"/>
      <c r="B114" s="70" t="s">
        <v>165</v>
      </c>
      <c r="C114" s="57"/>
      <c r="D114" s="66"/>
      <c r="E114" s="38">
        <f t="shared" ref="E114:AD114" si="47">SUM(E23,E33,E107,E113)</f>
        <v>1545291</v>
      </c>
      <c r="F114" s="38">
        <f t="shared" si="47"/>
        <v>1300228</v>
      </c>
      <c r="G114" s="38">
        <f t="shared" si="47"/>
        <v>3301</v>
      </c>
      <c r="H114" s="38">
        <f t="shared" si="47"/>
        <v>13205</v>
      </c>
      <c r="I114" s="38">
        <f t="shared" si="47"/>
        <v>228557</v>
      </c>
      <c r="J114" s="79">
        <f t="shared" si="47"/>
        <v>1856761</v>
      </c>
      <c r="K114" s="79">
        <f t="shared" si="47"/>
        <v>1539535</v>
      </c>
      <c r="L114" s="79">
        <f t="shared" si="47"/>
        <v>16022</v>
      </c>
      <c r="M114" s="79">
        <f t="shared" si="47"/>
        <v>88595</v>
      </c>
      <c r="N114" s="38">
        <f t="shared" si="47"/>
        <v>212609</v>
      </c>
      <c r="O114" s="79">
        <f t="shared" si="47"/>
        <v>1841846</v>
      </c>
      <c r="P114" s="79">
        <f t="shared" si="47"/>
        <v>1478374</v>
      </c>
      <c r="Q114" s="38">
        <f t="shared" si="47"/>
        <v>23908</v>
      </c>
      <c r="R114" s="38">
        <f t="shared" si="47"/>
        <v>133344</v>
      </c>
      <c r="S114" s="38">
        <f t="shared" si="47"/>
        <v>206220</v>
      </c>
      <c r="T114" s="38">
        <f t="shared" si="47"/>
        <v>1651499</v>
      </c>
      <c r="U114" s="38">
        <f t="shared" si="47"/>
        <v>1441679</v>
      </c>
      <c r="V114" s="38">
        <f t="shared" si="47"/>
        <v>1260</v>
      </c>
      <c r="W114" s="38">
        <f t="shared" si="47"/>
        <v>2340</v>
      </c>
      <c r="X114" s="38">
        <f t="shared" si="47"/>
        <v>206220</v>
      </c>
      <c r="Y114" s="38">
        <f t="shared" si="47"/>
        <v>1181797</v>
      </c>
      <c r="Z114" s="38">
        <f t="shared" si="47"/>
        <v>1030137</v>
      </c>
      <c r="AA114" s="38">
        <f t="shared" si="47"/>
        <v>0</v>
      </c>
      <c r="AB114" s="38">
        <f t="shared" si="47"/>
        <v>0</v>
      </c>
      <c r="AC114" s="38">
        <f t="shared" si="47"/>
        <v>151660</v>
      </c>
      <c r="AD114" s="79">
        <f t="shared" si="47"/>
        <v>8077194</v>
      </c>
    </row>
    <row r="115" spans="1:31" s="13" customFormat="1" ht="34.9" customHeight="1" x14ac:dyDescent="0.25">
      <c r="A115" s="66"/>
      <c r="B115" s="31" t="s">
        <v>53</v>
      </c>
      <c r="C115" s="57"/>
      <c r="D115" s="66"/>
      <c r="E115" s="23">
        <f>E114-E116</f>
        <v>1532708</v>
      </c>
      <c r="F115" s="23">
        <f t="shared" ref="F115:AD115" si="48">F114-F116</f>
        <v>1287645</v>
      </c>
      <c r="G115" s="23">
        <f t="shared" si="48"/>
        <v>3301</v>
      </c>
      <c r="H115" s="23">
        <f t="shared" si="48"/>
        <v>13205</v>
      </c>
      <c r="I115" s="23">
        <f t="shared" si="48"/>
        <v>228557</v>
      </c>
      <c r="J115" s="27">
        <f t="shared" si="48"/>
        <v>1856761</v>
      </c>
      <c r="K115" s="27">
        <f t="shared" si="48"/>
        <v>1539535</v>
      </c>
      <c r="L115" s="27">
        <f t="shared" si="48"/>
        <v>16022</v>
      </c>
      <c r="M115" s="27">
        <f t="shared" si="48"/>
        <v>88595</v>
      </c>
      <c r="N115" s="23">
        <f t="shared" si="48"/>
        <v>212609</v>
      </c>
      <c r="O115" s="23">
        <f t="shared" si="48"/>
        <v>1841846</v>
      </c>
      <c r="P115" s="23">
        <f t="shared" si="48"/>
        <v>1478374</v>
      </c>
      <c r="Q115" s="23">
        <f t="shared" si="48"/>
        <v>23908</v>
      </c>
      <c r="R115" s="23">
        <f t="shared" si="48"/>
        <v>133344</v>
      </c>
      <c r="S115" s="23">
        <f t="shared" si="48"/>
        <v>206220</v>
      </c>
      <c r="T115" s="23">
        <f t="shared" si="48"/>
        <v>1651499</v>
      </c>
      <c r="U115" s="23">
        <f t="shared" si="48"/>
        <v>1441679</v>
      </c>
      <c r="V115" s="23">
        <f t="shared" si="48"/>
        <v>1260</v>
      </c>
      <c r="W115" s="23">
        <f t="shared" si="48"/>
        <v>2340</v>
      </c>
      <c r="X115" s="23">
        <f t="shared" si="48"/>
        <v>206220</v>
      </c>
      <c r="Y115" s="23">
        <f t="shared" si="48"/>
        <v>1181797</v>
      </c>
      <c r="Z115" s="23">
        <f t="shared" si="48"/>
        <v>1030137</v>
      </c>
      <c r="AA115" s="23">
        <f t="shared" si="48"/>
        <v>0</v>
      </c>
      <c r="AB115" s="23">
        <f t="shared" si="48"/>
        <v>0</v>
      </c>
      <c r="AC115" s="23">
        <f t="shared" si="48"/>
        <v>151660</v>
      </c>
      <c r="AD115" s="23">
        <f t="shared" si="48"/>
        <v>8064611</v>
      </c>
      <c r="AE115" s="14">
        <f>E115+J115+O115+T115+Y115</f>
        <v>8064611</v>
      </c>
    </row>
    <row r="116" spans="1:31" s="13" customFormat="1" ht="34.9" customHeight="1" x14ac:dyDescent="0.25">
      <c r="A116" s="66"/>
      <c r="B116" s="31" t="s">
        <v>78</v>
      </c>
      <c r="C116" s="57"/>
      <c r="D116" s="66"/>
      <c r="E116" s="23">
        <f t="shared" ref="E116:AD116" si="49">E98+E99</f>
        <v>12583</v>
      </c>
      <c r="F116" s="23">
        <f t="shared" si="49"/>
        <v>12583</v>
      </c>
      <c r="G116" s="23">
        <f t="shared" si="49"/>
        <v>0</v>
      </c>
      <c r="H116" s="23">
        <f t="shared" si="49"/>
        <v>0</v>
      </c>
      <c r="I116" s="23">
        <f t="shared" si="49"/>
        <v>0</v>
      </c>
      <c r="J116" s="23">
        <f t="shared" si="49"/>
        <v>0</v>
      </c>
      <c r="K116" s="23">
        <f t="shared" si="49"/>
        <v>0</v>
      </c>
      <c r="L116" s="23">
        <f t="shared" si="49"/>
        <v>0</v>
      </c>
      <c r="M116" s="23">
        <f t="shared" si="49"/>
        <v>0</v>
      </c>
      <c r="N116" s="23">
        <f t="shared" si="49"/>
        <v>0</v>
      </c>
      <c r="O116" s="23">
        <f t="shared" si="49"/>
        <v>0</v>
      </c>
      <c r="P116" s="23">
        <f t="shared" si="49"/>
        <v>0</v>
      </c>
      <c r="Q116" s="23">
        <f t="shared" si="49"/>
        <v>0</v>
      </c>
      <c r="R116" s="23">
        <f t="shared" si="49"/>
        <v>0</v>
      </c>
      <c r="S116" s="23">
        <f t="shared" si="49"/>
        <v>0</v>
      </c>
      <c r="T116" s="23">
        <f t="shared" si="49"/>
        <v>0</v>
      </c>
      <c r="U116" s="23">
        <f t="shared" si="49"/>
        <v>0</v>
      </c>
      <c r="V116" s="23">
        <f t="shared" si="49"/>
        <v>0</v>
      </c>
      <c r="W116" s="23">
        <f t="shared" si="49"/>
        <v>0</v>
      </c>
      <c r="X116" s="23">
        <f t="shared" si="49"/>
        <v>0</v>
      </c>
      <c r="Y116" s="23">
        <f t="shared" si="49"/>
        <v>0</v>
      </c>
      <c r="Z116" s="23">
        <f t="shared" si="49"/>
        <v>0</v>
      </c>
      <c r="AA116" s="23">
        <f t="shared" si="49"/>
        <v>0</v>
      </c>
      <c r="AB116" s="23">
        <f t="shared" si="49"/>
        <v>0</v>
      </c>
      <c r="AC116" s="23">
        <f t="shared" si="49"/>
        <v>0</v>
      </c>
      <c r="AD116" s="23">
        <f t="shared" si="49"/>
        <v>12583</v>
      </c>
      <c r="AE116" s="14">
        <f>E116+J116+O116+T116+Y116</f>
        <v>12583</v>
      </c>
    </row>
    <row r="117" spans="1:31" s="74" customFormat="1" ht="36" customHeight="1" x14ac:dyDescent="0.25">
      <c r="A117" s="69"/>
      <c r="B117" s="70" t="s">
        <v>42</v>
      </c>
      <c r="C117" s="69"/>
      <c r="D117" s="69"/>
      <c r="E117" s="85">
        <f>E118</f>
        <v>0</v>
      </c>
      <c r="F117" s="85">
        <f t="shared" ref="F117:I117" si="50">F118</f>
        <v>0</v>
      </c>
      <c r="G117" s="85">
        <f t="shared" si="50"/>
        <v>0</v>
      </c>
      <c r="H117" s="85">
        <f t="shared" si="50"/>
        <v>0</v>
      </c>
      <c r="I117" s="85">
        <f t="shared" si="50"/>
        <v>0</v>
      </c>
      <c r="J117" s="72">
        <f>J118+J119</f>
        <v>6500</v>
      </c>
      <c r="K117" s="72">
        <f>K118+K119</f>
        <v>6500</v>
      </c>
      <c r="L117" s="72">
        <f t="shared" ref="L117:N117" si="51">L118</f>
        <v>0</v>
      </c>
      <c r="M117" s="72">
        <f t="shared" si="51"/>
        <v>0</v>
      </c>
      <c r="N117" s="72">
        <f t="shared" si="51"/>
        <v>0</v>
      </c>
      <c r="O117" s="71">
        <f>O118</f>
        <v>0</v>
      </c>
      <c r="P117" s="71">
        <f t="shared" ref="P117:S117" si="52">P118</f>
        <v>0</v>
      </c>
      <c r="Q117" s="71">
        <f t="shared" si="52"/>
        <v>0</v>
      </c>
      <c r="R117" s="71">
        <f t="shared" si="52"/>
        <v>0</v>
      </c>
      <c r="S117" s="71">
        <f t="shared" si="52"/>
        <v>0</v>
      </c>
      <c r="T117" s="71">
        <f>T118</f>
        <v>0</v>
      </c>
      <c r="U117" s="71">
        <f t="shared" ref="U117:X117" si="53">U118</f>
        <v>0</v>
      </c>
      <c r="V117" s="71">
        <f t="shared" si="53"/>
        <v>0</v>
      </c>
      <c r="W117" s="71">
        <f t="shared" si="53"/>
        <v>0</v>
      </c>
      <c r="X117" s="71">
        <f t="shared" si="53"/>
        <v>0</v>
      </c>
      <c r="Y117" s="71">
        <f>Y118</f>
        <v>0</v>
      </c>
      <c r="Z117" s="71">
        <f t="shared" ref="Z117:AC117" si="54">Z118</f>
        <v>0</v>
      </c>
      <c r="AA117" s="71">
        <f t="shared" si="54"/>
        <v>0</v>
      </c>
      <c r="AB117" s="71">
        <f t="shared" si="54"/>
        <v>0</v>
      </c>
      <c r="AC117" s="71">
        <f t="shared" si="54"/>
        <v>0</v>
      </c>
      <c r="AD117" s="73">
        <f>SUM(Y117,T117,O117,J117,E117)</f>
        <v>6500</v>
      </c>
    </row>
    <row r="118" spans="1:31" s="15" customFormat="1" ht="21.75" customHeight="1" x14ac:dyDescent="0.25">
      <c r="A118" s="69"/>
      <c r="B118" s="75" t="s">
        <v>53</v>
      </c>
      <c r="C118" s="69"/>
      <c r="D118" s="69"/>
      <c r="E118" s="86">
        <f>F118+G118+H118+I118</f>
        <v>0</v>
      </c>
      <c r="F118" s="86">
        <v>0</v>
      </c>
      <c r="G118" s="86">
        <v>0</v>
      </c>
      <c r="H118" s="86">
        <v>0</v>
      </c>
      <c r="I118" s="86">
        <v>0</v>
      </c>
      <c r="J118" s="77">
        <v>0</v>
      </c>
      <c r="K118" s="77">
        <v>0</v>
      </c>
      <c r="L118" s="76">
        <v>0</v>
      </c>
      <c r="M118" s="76">
        <v>0</v>
      </c>
      <c r="N118" s="76">
        <v>0</v>
      </c>
      <c r="O118" s="76">
        <f>P118+Q118+R118+S118</f>
        <v>0</v>
      </c>
      <c r="P118" s="76">
        <v>0</v>
      </c>
      <c r="Q118" s="76">
        <v>0</v>
      </c>
      <c r="R118" s="76">
        <v>0</v>
      </c>
      <c r="S118" s="76">
        <v>0</v>
      </c>
      <c r="T118" s="76">
        <v>0</v>
      </c>
      <c r="U118" s="76">
        <v>0</v>
      </c>
      <c r="V118" s="76">
        <v>0</v>
      </c>
      <c r="W118" s="76">
        <v>0</v>
      </c>
      <c r="X118" s="76">
        <v>0</v>
      </c>
      <c r="Y118" s="76">
        <v>0</v>
      </c>
      <c r="Z118" s="76">
        <v>0</v>
      </c>
      <c r="AA118" s="76">
        <v>0</v>
      </c>
      <c r="AB118" s="76">
        <v>0</v>
      </c>
      <c r="AC118" s="76">
        <v>0</v>
      </c>
      <c r="AD118" s="28">
        <f>SUM(Y118,T118,O118,J118,E118)</f>
        <v>0</v>
      </c>
    </row>
    <row r="119" spans="1:31" s="15" customFormat="1" ht="33.75" customHeight="1" x14ac:dyDescent="0.25">
      <c r="A119" s="69"/>
      <c r="B119" s="75" t="s">
        <v>78</v>
      </c>
      <c r="C119" s="69"/>
      <c r="D119" s="69"/>
      <c r="E119" s="86">
        <f>F119+G119+H119+I119</f>
        <v>0</v>
      </c>
      <c r="F119" s="86">
        <v>0</v>
      </c>
      <c r="G119" s="86">
        <v>0</v>
      </c>
      <c r="H119" s="86">
        <v>0</v>
      </c>
      <c r="I119" s="86">
        <v>0</v>
      </c>
      <c r="J119" s="77">
        <f>J108</f>
        <v>6500</v>
      </c>
      <c r="K119" s="77">
        <f>K108</f>
        <v>6500</v>
      </c>
      <c r="L119" s="76">
        <v>0</v>
      </c>
      <c r="M119" s="76">
        <v>0</v>
      </c>
      <c r="N119" s="76">
        <v>0</v>
      </c>
      <c r="O119" s="76">
        <f>P119+Q119+R119+S119</f>
        <v>0</v>
      </c>
      <c r="P119" s="76">
        <v>0</v>
      </c>
      <c r="Q119" s="76">
        <v>0</v>
      </c>
      <c r="R119" s="76">
        <v>0</v>
      </c>
      <c r="S119" s="76">
        <v>0</v>
      </c>
      <c r="T119" s="76">
        <v>0</v>
      </c>
      <c r="U119" s="76">
        <v>0</v>
      </c>
      <c r="V119" s="76">
        <v>0</v>
      </c>
      <c r="W119" s="76">
        <v>0</v>
      </c>
      <c r="X119" s="76">
        <v>0</v>
      </c>
      <c r="Y119" s="76">
        <v>0</v>
      </c>
      <c r="Z119" s="76">
        <v>0</v>
      </c>
      <c r="AA119" s="76">
        <v>0</v>
      </c>
      <c r="AB119" s="76">
        <v>0</v>
      </c>
      <c r="AC119" s="76">
        <v>0</v>
      </c>
      <c r="AD119" s="28">
        <f>SUM(Y119,T119,O119,J119,E119)</f>
        <v>6500</v>
      </c>
    </row>
    <row r="120" spans="1:31" s="17" customFormat="1" ht="39" customHeight="1" x14ac:dyDescent="0.25">
      <c r="A120" s="69"/>
      <c r="B120" s="70" t="s">
        <v>166</v>
      </c>
      <c r="C120" s="76"/>
      <c r="D120" s="69"/>
      <c r="E120" s="71">
        <f>E121+E122</f>
        <v>1545291</v>
      </c>
      <c r="F120" s="71">
        <f t="shared" ref="F120:AD120" si="55">F121+F122</f>
        <v>1300228</v>
      </c>
      <c r="G120" s="71">
        <f t="shared" si="55"/>
        <v>3301</v>
      </c>
      <c r="H120" s="71">
        <f t="shared" si="55"/>
        <v>13205</v>
      </c>
      <c r="I120" s="71">
        <f t="shared" si="55"/>
        <v>228557</v>
      </c>
      <c r="J120" s="71">
        <f t="shared" si="55"/>
        <v>1863261</v>
      </c>
      <c r="K120" s="71">
        <f t="shared" si="55"/>
        <v>1546035</v>
      </c>
      <c r="L120" s="71">
        <f t="shared" si="55"/>
        <v>16022</v>
      </c>
      <c r="M120" s="71">
        <f t="shared" si="55"/>
        <v>88595</v>
      </c>
      <c r="N120" s="71">
        <f t="shared" si="55"/>
        <v>212609</v>
      </c>
      <c r="O120" s="71">
        <f t="shared" si="55"/>
        <v>1841846</v>
      </c>
      <c r="P120" s="71">
        <f t="shared" si="55"/>
        <v>1478374</v>
      </c>
      <c r="Q120" s="71">
        <f t="shared" si="55"/>
        <v>23908</v>
      </c>
      <c r="R120" s="71">
        <f t="shared" si="55"/>
        <v>133344</v>
      </c>
      <c r="S120" s="71">
        <f t="shared" si="55"/>
        <v>206220</v>
      </c>
      <c r="T120" s="71">
        <f t="shared" si="55"/>
        <v>1651499</v>
      </c>
      <c r="U120" s="71">
        <f t="shared" si="55"/>
        <v>1441679</v>
      </c>
      <c r="V120" s="71">
        <f t="shared" si="55"/>
        <v>1260</v>
      </c>
      <c r="W120" s="71">
        <f t="shared" si="55"/>
        <v>2340</v>
      </c>
      <c r="X120" s="71">
        <f t="shared" si="55"/>
        <v>206220</v>
      </c>
      <c r="Y120" s="71">
        <f t="shared" si="55"/>
        <v>1181797</v>
      </c>
      <c r="Z120" s="71">
        <f t="shared" si="55"/>
        <v>1030137</v>
      </c>
      <c r="AA120" s="71">
        <f t="shared" si="55"/>
        <v>0</v>
      </c>
      <c r="AB120" s="71">
        <f t="shared" si="55"/>
        <v>0</v>
      </c>
      <c r="AC120" s="71">
        <f t="shared" si="55"/>
        <v>151660</v>
      </c>
      <c r="AD120" s="71">
        <f t="shared" si="55"/>
        <v>8083694</v>
      </c>
    </row>
    <row r="121" spans="1:31" s="17" customFormat="1" ht="24.75" customHeight="1" x14ac:dyDescent="0.25">
      <c r="A121" s="69"/>
      <c r="B121" s="75" t="s">
        <v>53</v>
      </c>
      <c r="C121" s="76"/>
      <c r="D121" s="69"/>
      <c r="E121" s="76">
        <f>E115+E118</f>
        <v>1532708</v>
      </c>
      <c r="F121" s="76">
        <f t="shared" ref="F121:AD121" si="56">F115+F118</f>
        <v>1287645</v>
      </c>
      <c r="G121" s="76">
        <f t="shared" si="56"/>
        <v>3301</v>
      </c>
      <c r="H121" s="76">
        <f t="shared" si="56"/>
        <v>13205</v>
      </c>
      <c r="I121" s="76">
        <f t="shared" si="56"/>
        <v>228557</v>
      </c>
      <c r="J121" s="76">
        <f t="shared" si="56"/>
        <v>1856761</v>
      </c>
      <c r="K121" s="76">
        <f t="shared" si="56"/>
        <v>1539535</v>
      </c>
      <c r="L121" s="76">
        <f t="shared" si="56"/>
        <v>16022</v>
      </c>
      <c r="M121" s="76">
        <f t="shared" si="56"/>
        <v>88595</v>
      </c>
      <c r="N121" s="76">
        <f t="shared" si="56"/>
        <v>212609</v>
      </c>
      <c r="O121" s="76">
        <f t="shared" si="56"/>
        <v>1841846</v>
      </c>
      <c r="P121" s="76">
        <f t="shared" si="56"/>
        <v>1478374</v>
      </c>
      <c r="Q121" s="76">
        <f t="shared" si="56"/>
        <v>23908</v>
      </c>
      <c r="R121" s="76">
        <f t="shared" si="56"/>
        <v>133344</v>
      </c>
      <c r="S121" s="76">
        <f t="shared" si="56"/>
        <v>206220</v>
      </c>
      <c r="T121" s="76">
        <f t="shared" si="56"/>
        <v>1651499</v>
      </c>
      <c r="U121" s="76">
        <f t="shared" si="56"/>
        <v>1441679</v>
      </c>
      <c r="V121" s="76">
        <f t="shared" si="56"/>
        <v>1260</v>
      </c>
      <c r="W121" s="76">
        <f t="shared" si="56"/>
        <v>2340</v>
      </c>
      <c r="X121" s="76">
        <f t="shared" si="56"/>
        <v>206220</v>
      </c>
      <c r="Y121" s="76">
        <f t="shared" si="56"/>
        <v>1181797</v>
      </c>
      <c r="Z121" s="76">
        <f t="shared" si="56"/>
        <v>1030137</v>
      </c>
      <c r="AA121" s="76">
        <f t="shared" si="56"/>
        <v>0</v>
      </c>
      <c r="AB121" s="76">
        <f t="shared" si="56"/>
        <v>0</v>
      </c>
      <c r="AC121" s="76">
        <f t="shared" si="56"/>
        <v>151660</v>
      </c>
      <c r="AD121" s="76">
        <f t="shared" si="56"/>
        <v>8064611</v>
      </c>
    </row>
    <row r="122" spans="1:31" s="17" customFormat="1" ht="27.75" customHeight="1" x14ac:dyDescent="0.25">
      <c r="A122" s="69"/>
      <c r="B122" s="75" t="s">
        <v>78</v>
      </c>
      <c r="C122" s="69"/>
      <c r="D122" s="69"/>
      <c r="E122" s="76">
        <f>E116+E119</f>
        <v>12583</v>
      </c>
      <c r="F122" s="76">
        <f t="shared" ref="F122:AD122" si="57">F116+F119</f>
        <v>12583</v>
      </c>
      <c r="G122" s="76">
        <f t="shared" si="57"/>
        <v>0</v>
      </c>
      <c r="H122" s="76">
        <f t="shared" si="57"/>
        <v>0</v>
      </c>
      <c r="I122" s="76">
        <f t="shared" si="57"/>
        <v>0</v>
      </c>
      <c r="J122" s="76">
        <f t="shared" si="57"/>
        <v>6500</v>
      </c>
      <c r="K122" s="76">
        <f t="shared" si="57"/>
        <v>6500</v>
      </c>
      <c r="L122" s="76">
        <f t="shared" si="57"/>
        <v>0</v>
      </c>
      <c r="M122" s="76">
        <f t="shared" si="57"/>
        <v>0</v>
      </c>
      <c r="N122" s="76">
        <f t="shared" si="57"/>
        <v>0</v>
      </c>
      <c r="O122" s="76">
        <f t="shared" si="57"/>
        <v>0</v>
      </c>
      <c r="P122" s="76">
        <f t="shared" si="57"/>
        <v>0</v>
      </c>
      <c r="Q122" s="76">
        <f t="shared" si="57"/>
        <v>0</v>
      </c>
      <c r="R122" s="76">
        <f t="shared" si="57"/>
        <v>0</v>
      </c>
      <c r="S122" s="76">
        <f t="shared" si="57"/>
        <v>0</v>
      </c>
      <c r="T122" s="76">
        <f t="shared" si="57"/>
        <v>0</v>
      </c>
      <c r="U122" s="76">
        <f t="shared" si="57"/>
        <v>0</v>
      </c>
      <c r="V122" s="76">
        <f t="shared" si="57"/>
        <v>0</v>
      </c>
      <c r="W122" s="76">
        <f t="shared" si="57"/>
        <v>0</v>
      </c>
      <c r="X122" s="76">
        <f t="shared" si="57"/>
        <v>0</v>
      </c>
      <c r="Y122" s="76">
        <f t="shared" si="57"/>
        <v>0</v>
      </c>
      <c r="Z122" s="76">
        <f t="shared" si="57"/>
        <v>0</v>
      </c>
      <c r="AA122" s="76">
        <f t="shared" si="57"/>
        <v>0</v>
      </c>
      <c r="AB122" s="76">
        <f t="shared" si="57"/>
        <v>0</v>
      </c>
      <c r="AC122" s="76">
        <f t="shared" si="57"/>
        <v>0</v>
      </c>
      <c r="AD122" s="76">
        <f t="shared" si="57"/>
        <v>19083</v>
      </c>
      <c r="AE122" s="16">
        <f>E122+J122+O122+T122+Y122</f>
        <v>19083</v>
      </c>
    </row>
    <row r="123" spans="1:31" x14ac:dyDescent="0.25">
      <c r="D123" s="18"/>
      <c r="E123" s="9"/>
      <c r="F123" s="9"/>
      <c r="G123" s="9"/>
      <c r="H123" s="9"/>
      <c r="I123" s="9"/>
      <c r="J123" s="9"/>
      <c r="K123" s="9"/>
      <c r="L123" s="9"/>
      <c r="M123" s="9"/>
      <c r="N123" s="9"/>
      <c r="O123" s="9"/>
      <c r="P123" s="9"/>
      <c r="Q123" s="9"/>
      <c r="R123" s="9"/>
      <c r="S123" s="9"/>
      <c r="T123" s="9"/>
      <c r="U123" s="9"/>
      <c r="V123" s="9"/>
      <c r="W123" s="9"/>
      <c r="X123" s="9"/>
      <c r="Y123" s="9"/>
      <c r="Z123" s="9"/>
      <c r="AA123" s="9"/>
      <c r="AB123" s="9"/>
      <c r="AC123" s="9"/>
      <c r="AD123" s="9"/>
    </row>
    <row r="124" spans="1:31" x14ac:dyDescent="0.25">
      <c r="E124" s="9"/>
      <c r="F124" s="9"/>
      <c r="G124" s="9"/>
      <c r="H124" s="9"/>
      <c r="I124" s="9"/>
      <c r="J124" s="9"/>
      <c r="K124" s="9"/>
      <c r="L124" s="9"/>
      <c r="M124" s="9"/>
      <c r="N124" s="9"/>
      <c r="O124" s="9"/>
      <c r="P124" s="9"/>
      <c r="Q124" s="9"/>
      <c r="R124" s="9"/>
      <c r="S124" s="9"/>
      <c r="T124" s="9"/>
      <c r="U124" s="9"/>
      <c r="V124" s="9"/>
      <c r="W124" s="9"/>
      <c r="X124" s="9"/>
      <c r="Y124" s="9"/>
      <c r="Z124" s="9"/>
      <c r="AA124" s="9"/>
      <c r="AB124" s="9"/>
      <c r="AC124" s="9"/>
      <c r="AD124" s="9"/>
    </row>
    <row r="125" spans="1:31" x14ac:dyDescent="0.25">
      <c r="E125" s="9"/>
      <c r="F125" s="9"/>
      <c r="G125" s="9"/>
      <c r="H125" s="9"/>
      <c r="I125" s="9"/>
      <c r="J125" s="9"/>
      <c r="K125" s="9"/>
      <c r="L125" s="9"/>
      <c r="M125" s="9"/>
      <c r="N125" s="9"/>
      <c r="O125" s="9"/>
      <c r="P125" s="9"/>
      <c r="Q125" s="9"/>
      <c r="R125" s="9"/>
      <c r="S125" s="9"/>
      <c r="T125" s="9"/>
      <c r="U125" s="9"/>
      <c r="V125" s="9"/>
      <c r="W125" s="9" t="s">
        <v>36</v>
      </c>
      <c r="X125" s="9">
        <f>SUM(F114,K114,P114,U114,Z114)</f>
        <v>6789953</v>
      </c>
      <c r="Y125" s="9"/>
      <c r="Z125" s="9"/>
      <c r="AA125" s="9"/>
      <c r="AB125" s="9"/>
      <c r="AC125" s="9"/>
      <c r="AD125" s="9"/>
    </row>
    <row r="126" spans="1:31" ht="15.75" x14ac:dyDescent="0.25">
      <c r="E126" s="9"/>
      <c r="F126" s="9"/>
      <c r="G126" s="9"/>
      <c r="H126" s="9"/>
      <c r="I126" s="9"/>
      <c r="J126" s="9"/>
      <c r="K126" s="9"/>
      <c r="L126" s="9"/>
      <c r="M126" s="9"/>
      <c r="N126" s="9"/>
      <c r="O126" s="20"/>
      <c r="P126" s="9"/>
      <c r="Q126" s="9"/>
      <c r="R126" s="9"/>
      <c r="S126" s="9"/>
      <c r="T126" s="9"/>
      <c r="U126" s="9"/>
      <c r="V126" s="9"/>
      <c r="W126" s="9" t="s">
        <v>37</v>
      </c>
      <c r="X126" s="9">
        <f>SUM(G114,L114,Q114,V114,AA114)</f>
        <v>44491</v>
      </c>
      <c r="Y126" s="9"/>
      <c r="Z126" s="9"/>
      <c r="AA126" s="9"/>
      <c r="AB126" s="9"/>
      <c r="AC126" s="9"/>
      <c r="AD126" s="9"/>
    </row>
    <row r="127" spans="1:31" x14ac:dyDescent="0.25">
      <c r="E127" s="9"/>
      <c r="F127" s="9"/>
      <c r="G127" s="9"/>
      <c r="H127" s="9"/>
      <c r="I127" s="9"/>
      <c r="J127" s="9"/>
      <c r="K127" s="9"/>
      <c r="L127" s="9"/>
      <c r="M127" s="9"/>
      <c r="N127" s="9"/>
      <c r="O127" s="9"/>
      <c r="P127" s="9"/>
      <c r="Q127" s="9"/>
      <c r="R127" s="9"/>
      <c r="S127" s="9"/>
      <c r="T127" s="9"/>
      <c r="U127" s="9"/>
      <c r="V127" s="9"/>
      <c r="W127" s="9" t="s">
        <v>38</v>
      </c>
      <c r="X127" s="9">
        <f>SUM(H114,M114,R114,W114,AB114)</f>
        <v>237484</v>
      </c>
      <c r="Y127" s="9"/>
      <c r="Z127" s="9"/>
      <c r="AA127" s="9"/>
      <c r="AB127" s="9"/>
      <c r="AC127" s="9"/>
      <c r="AD127" s="9"/>
    </row>
    <row r="128" spans="1:31" x14ac:dyDescent="0.25">
      <c r="E128" s="9"/>
      <c r="F128" s="9"/>
      <c r="G128" s="9"/>
      <c r="H128" s="9"/>
      <c r="I128" s="9"/>
      <c r="J128" s="9"/>
      <c r="K128" s="9"/>
      <c r="L128" s="9"/>
      <c r="M128" s="9"/>
      <c r="N128" s="9"/>
      <c r="O128" s="9"/>
      <c r="P128" s="9"/>
      <c r="Q128" s="9"/>
      <c r="R128" s="9"/>
      <c r="S128" s="9"/>
      <c r="T128" s="9"/>
      <c r="U128" s="9"/>
      <c r="V128" s="9"/>
      <c r="W128" s="9" t="s">
        <v>39</v>
      </c>
      <c r="X128" s="9">
        <f>SUM(I114,N114,S114,X114,AC114)</f>
        <v>1005266</v>
      </c>
      <c r="Y128" s="9"/>
      <c r="Z128" s="9"/>
      <c r="AA128" s="9"/>
      <c r="AB128" s="9"/>
      <c r="AC128" s="9"/>
      <c r="AD128" s="9"/>
    </row>
    <row r="129" spans="5:30" x14ac:dyDescent="0.25">
      <c r="E129" s="9"/>
      <c r="F129" s="9"/>
      <c r="G129" s="9"/>
      <c r="H129" s="9"/>
      <c r="I129" s="9"/>
      <c r="J129" s="9"/>
      <c r="K129" s="9"/>
      <c r="L129" s="9"/>
      <c r="M129" s="9"/>
      <c r="N129" s="9"/>
      <c r="O129" s="9"/>
      <c r="P129" s="9"/>
      <c r="Q129" s="9"/>
      <c r="R129" s="9"/>
      <c r="S129" s="9"/>
      <c r="T129" s="9"/>
      <c r="U129" s="9"/>
      <c r="V129" s="19" t="s">
        <v>36</v>
      </c>
      <c r="W129" s="9" t="s">
        <v>43</v>
      </c>
      <c r="X129" s="9">
        <f>F115+K115+P115+U115+Z115</f>
        <v>6777370</v>
      </c>
      <c r="Y129" s="9"/>
      <c r="Z129" s="9"/>
      <c r="AA129" s="9"/>
      <c r="AB129" s="9"/>
      <c r="AC129" s="9"/>
      <c r="AD129" s="9"/>
    </row>
    <row r="130" spans="5:30" x14ac:dyDescent="0.25">
      <c r="E130" s="9"/>
      <c r="F130" s="9"/>
      <c r="G130" s="9"/>
      <c r="H130" s="9"/>
      <c r="I130" s="9"/>
      <c r="J130" s="9"/>
      <c r="K130" s="9"/>
      <c r="L130" s="9"/>
      <c r="M130" s="9"/>
      <c r="N130" s="9"/>
      <c r="O130" s="9"/>
      <c r="P130" s="9"/>
      <c r="Q130" s="9"/>
      <c r="R130" s="9"/>
      <c r="S130" s="9"/>
      <c r="T130" s="9"/>
      <c r="U130" s="9"/>
      <c r="V130" s="19" t="s">
        <v>36</v>
      </c>
      <c r="W130" s="9" t="s">
        <v>44</v>
      </c>
      <c r="X130" s="9">
        <f>F116+K116+P116+U116+Z116</f>
        <v>12583</v>
      </c>
      <c r="Y130" s="9"/>
      <c r="Z130" s="9"/>
      <c r="AA130" s="9"/>
      <c r="AB130" s="9"/>
      <c r="AC130" s="9"/>
      <c r="AD130" s="9"/>
    </row>
    <row r="131" spans="5:30" x14ac:dyDescent="0.25">
      <c r="E131" s="9"/>
      <c r="F131" s="9"/>
      <c r="G131" s="9"/>
      <c r="H131" s="9"/>
      <c r="I131" s="9"/>
      <c r="J131" s="9"/>
      <c r="K131" s="9"/>
      <c r="L131" s="9"/>
      <c r="M131" s="9"/>
      <c r="N131" s="9"/>
      <c r="O131" s="9"/>
      <c r="P131" s="9"/>
      <c r="Q131" s="9"/>
      <c r="R131" s="9"/>
      <c r="S131" s="9"/>
      <c r="T131" s="9"/>
      <c r="U131" s="9"/>
      <c r="V131" s="19" t="s">
        <v>45</v>
      </c>
      <c r="W131" s="9" t="s">
        <v>46</v>
      </c>
      <c r="X131" s="9">
        <f>G115+L115+Q115+V115+AA115</f>
        <v>44491</v>
      </c>
      <c r="Y131" s="9"/>
      <c r="Z131" s="9"/>
      <c r="AA131" s="9"/>
      <c r="AB131" s="9"/>
      <c r="AC131" s="9"/>
      <c r="AD131" s="9"/>
    </row>
    <row r="132" spans="5:30" x14ac:dyDescent="0.25">
      <c r="E132" s="9"/>
      <c r="F132" s="9"/>
      <c r="G132" s="9"/>
      <c r="H132" s="9"/>
      <c r="I132" s="9"/>
      <c r="J132" s="9"/>
      <c r="K132" s="9"/>
      <c r="L132" s="9"/>
      <c r="M132" s="9"/>
      <c r="N132" s="9"/>
      <c r="O132" s="9"/>
      <c r="P132" s="9"/>
      <c r="Q132" s="9"/>
      <c r="R132" s="9"/>
      <c r="S132" s="9"/>
      <c r="T132" s="9"/>
      <c r="U132" s="9"/>
      <c r="V132" s="19" t="s">
        <v>45</v>
      </c>
      <c r="W132" s="9" t="s">
        <v>44</v>
      </c>
      <c r="X132" s="9">
        <v>0</v>
      </c>
      <c r="Y132" s="9"/>
      <c r="Z132" s="9"/>
      <c r="AA132" s="9"/>
      <c r="AB132" s="9"/>
      <c r="AC132" s="9"/>
      <c r="AD132" s="9"/>
    </row>
    <row r="133" spans="5:30" x14ac:dyDescent="0.25">
      <c r="E133" s="9"/>
      <c r="F133" s="9"/>
      <c r="G133" s="9"/>
      <c r="H133" s="9"/>
      <c r="I133" s="9"/>
      <c r="J133" s="9"/>
      <c r="K133" s="9"/>
      <c r="L133" s="9"/>
      <c r="M133" s="9"/>
      <c r="N133" s="9"/>
      <c r="O133" s="9"/>
      <c r="P133" s="9"/>
      <c r="Q133" s="9"/>
      <c r="R133" s="9"/>
      <c r="S133" s="9"/>
      <c r="T133" s="9"/>
      <c r="U133" s="9"/>
      <c r="V133" s="19" t="s">
        <v>50</v>
      </c>
      <c r="W133" s="9" t="s">
        <v>49</v>
      </c>
      <c r="X133" s="9">
        <f>K97</f>
        <v>0</v>
      </c>
      <c r="Y133" s="9"/>
      <c r="Z133" s="9"/>
      <c r="AA133" s="9"/>
      <c r="AB133" s="9"/>
      <c r="AC133" s="9"/>
      <c r="AD133" s="9"/>
    </row>
    <row r="134" spans="5:30" x14ac:dyDescent="0.25">
      <c r="E134" s="9"/>
      <c r="F134" s="9"/>
      <c r="G134" s="9"/>
      <c r="H134" s="9"/>
      <c r="I134" s="9"/>
      <c r="J134" s="9"/>
      <c r="K134" s="9"/>
      <c r="L134" s="9"/>
      <c r="M134" s="9"/>
      <c r="N134" s="9"/>
      <c r="O134" s="9"/>
      <c r="P134" s="9"/>
      <c r="Q134" s="9"/>
      <c r="R134" s="9"/>
      <c r="S134" s="9"/>
      <c r="T134" s="9"/>
      <c r="U134" s="9"/>
      <c r="V134" s="19" t="s">
        <v>84</v>
      </c>
      <c r="W134" s="9" t="s">
        <v>46</v>
      </c>
      <c r="X134" s="9">
        <f>H115+M115+R115+W115+AB115</f>
        <v>237484</v>
      </c>
      <c r="Y134" s="9"/>
      <c r="Z134" s="9"/>
      <c r="AA134" s="9"/>
      <c r="AB134" s="9"/>
      <c r="AC134" s="9"/>
      <c r="AD134" s="9"/>
    </row>
    <row r="135" spans="5:30" x14ac:dyDescent="0.25">
      <c r="E135" s="9"/>
      <c r="F135" s="9"/>
      <c r="G135" s="9"/>
      <c r="H135" s="9"/>
      <c r="I135" s="9"/>
      <c r="J135" s="9"/>
      <c r="K135" s="9"/>
      <c r="L135" s="9"/>
      <c r="M135" s="9"/>
      <c r="N135" s="9"/>
      <c r="O135" s="9"/>
      <c r="P135" s="9"/>
      <c r="Q135" s="9"/>
      <c r="R135" s="9"/>
      <c r="S135" s="9"/>
      <c r="T135" s="9"/>
      <c r="U135" s="9"/>
      <c r="V135" s="9" t="s">
        <v>85</v>
      </c>
      <c r="W135" s="9"/>
      <c r="X135" s="9">
        <f>I115+N115+S115+X115+AC115</f>
        <v>1005266</v>
      </c>
      <c r="Y135" s="9"/>
      <c r="Z135" s="9"/>
      <c r="AA135" s="9"/>
      <c r="AB135" s="9"/>
      <c r="AC135" s="9"/>
      <c r="AD135" s="9"/>
    </row>
  </sheetData>
  <mergeCells count="37">
    <mergeCell ref="A99:A100"/>
    <mergeCell ref="C99:C100"/>
    <mergeCell ref="A35:A48"/>
    <mergeCell ref="C35:C48"/>
    <mergeCell ref="D35:D48"/>
    <mergeCell ref="A75:A93"/>
    <mergeCell ref="C75:C93"/>
    <mergeCell ref="A95:A96"/>
    <mergeCell ref="A63:A74"/>
    <mergeCell ref="A49:A62"/>
    <mergeCell ref="Y7:AC7"/>
    <mergeCell ref="T7:X7"/>
    <mergeCell ref="A6:A8"/>
    <mergeCell ref="Y6:AD6"/>
    <mergeCell ref="B24:C24"/>
    <mergeCell ref="AD7:AD8"/>
    <mergeCell ref="C12:C14"/>
    <mergeCell ref="B109:C109"/>
    <mergeCell ref="O7:S7"/>
    <mergeCell ref="O6:X6"/>
    <mergeCell ref="B10:C10"/>
    <mergeCell ref="B11:C11"/>
    <mergeCell ref="D12:D14"/>
    <mergeCell ref="C6:C8"/>
    <mergeCell ref="B6:B8"/>
    <mergeCell ref="B34:C34"/>
    <mergeCell ref="C63:C74"/>
    <mergeCell ref="D63:D74"/>
    <mergeCell ref="D49:D62"/>
    <mergeCell ref="C49:C62"/>
    <mergeCell ref="F1:M1"/>
    <mergeCell ref="D6:D8"/>
    <mergeCell ref="J7:N7"/>
    <mergeCell ref="E7:I7"/>
    <mergeCell ref="E6:N6"/>
    <mergeCell ref="B3:D3"/>
    <mergeCell ref="F2:N2"/>
  </mergeCells>
  <phoneticPr fontId="3" type="noConversion"/>
  <pageMargins left="0.23622047244094491" right="0.23622047244094491" top="0.55118110236220474" bottom="0.35433070866141736" header="0.31496062992125984" footer="0.31496062992125984"/>
  <pageSetup paperSize="9" scale="48" fitToWidth="0" fitToHeight="0" orientation="landscape" useFirstPageNumber="1"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AD11"/>
  <sheetViews>
    <sheetView workbookViewId="0">
      <selection activeCell="A8" sqref="A8:XFD11"/>
    </sheetView>
  </sheetViews>
  <sheetFormatPr defaultRowHeight="15" x14ac:dyDescent="0.25"/>
  <cols>
    <col min="2" max="2" width="33.5703125" customWidth="1"/>
  </cols>
  <sheetData>
    <row r="8" spans="1:30" s="30" customFormat="1" ht="44.25" customHeight="1" x14ac:dyDescent="0.25">
      <c r="A8" s="124" t="s">
        <v>132</v>
      </c>
      <c r="B8" s="34" t="s">
        <v>133</v>
      </c>
      <c r="C8" s="35"/>
      <c r="D8" s="36"/>
      <c r="E8" s="27"/>
      <c r="F8" s="28"/>
      <c r="G8" s="28"/>
      <c r="H8" s="28"/>
      <c r="I8" s="28"/>
      <c r="J8" s="27"/>
      <c r="K8" s="27"/>
      <c r="L8" s="27"/>
      <c r="M8" s="27"/>
      <c r="N8" s="27"/>
      <c r="O8" s="27"/>
      <c r="P8" s="27"/>
      <c r="Q8" s="27"/>
      <c r="R8" s="27"/>
      <c r="S8" s="27"/>
      <c r="T8" s="27"/>
      <c r="U8" s="27"/>
      <c r="V8" s="27"/>
      <c r="W8" s="27"/>
      <c r="X8" s="27"/>
      <c r="Y8" s="27"/>
      <c r="Z8" s="27"/>
      <c r="AA8" s="27"/>
      <c r="AB8" s="27"/>
      <c r="AC8" s="27"/>
      <c r="AD8" s="12">
        <f>SUM(Y8,T8,O8,J8,E8)</f>
        <v>0</v>
      </c>
    </row>
    <row r="9" spans="1:30" s="30" customFormat="1" ht="32.25" customHeight="1" x14ac:dyDescent="0.25">
      <c r="A9" s="125"/>
      <c r="B9" s="37" t="s">
        <v>113</v>
      </c>
      <c r="C9" s="35"/>
      <c r="D9" s="36">
        <v>2024</v>
      </c>
      <c r="E9" s="27">
        <f>SUM(F9:I9)</f>
        <v>0</v>
      </c>
      <c r="F9" s="28">
        <v>0</v>
      </c>
      <c r="G9" s="28">
        <v>0</v>
      </c>
      <c r="H9" s="28">
        <v>0</v>
      </c>
      <c r="I9" s="28">
        <v>0</v>
      </c>
      <c r="J9" s="27">
        <v>0</v>
      </c>
      <c r="K9" s="27">
        <v>0</v>
      </c>
      <c r="L9" s="27">
        <v>0</v>
      </c>
      <c r="M9" s="27">
        <v>0</v>
      </c>
      <c r="N9" s="27">
        <v>0</v>
      </c>
      <c r="O9" s="27">
        <v>0</v>
      </c>
      <c r="P9" s="27">
        <v>0</v>
      </c>
      <c r="Q9" s="27">
        <v>0</v>
      </c>
      <c r="R9" s="27">
        <v>0</v>
      </c>
      <c r="S9" s="27">
        <v>0</v>
      </c>
      <c r="T9" s="27">
        <v>0</v>
      </c>
      <c r="U9" s="27">
        <v>0</v>
      </c>
      <c r="V9" s="27">
        <v>0</v>
      </c>
      <c r="W9" s="27">
        <v>0</v>
      </c>
      <c r="X9" s="27">
        <v>0</v>
      </c>
      <c r="Y9" s="27">
        <v>0</v>
      </c>
      <c r="Z9" s="27">
        <v>0</v>
      </c>
      <c r="AA9" s="27">
        <v>0</v>
      </c>
      <c r="AB9" s="27">
        <v>0</v>
      </c>
      <c r="AC9" s="27">
        <v>0</v>
      </c>
      <c r="AD9" s="12">
        <f>SUM(Y9,T9,O9,J9,E9)</f>
        <v>0</v>
      </c>
    </row>
    <row r="10" spans="1:30" s="30" customFormat="1" ht="32.25" customHeight="1" x14ac:dyDescent="0.25">
      <c r="A10" s="125"/>
      <c r="B10" s="37" t="s">
        <v>134</v>
      </c>
      <c r="C10" s="35"/>
      <c r="D10" s="36"/>
      <c r="E10" s="27">
        <f>SUM(F10:I10)</f>
        <v>0</v>
      </c>
      <c r="F10" s="28">
        <v>0</v>
      </c>
      <c r="G10" s="28">
        <v>0</v>
      </c>
      <c r="H10" s="28">
        <v>0</v>
      </c>
      <c r="I10" s="28">
        <v>0</v>
      </c>
      <c r="J10" s="27">
        <v>0</v>
      </c>
      <c r="K10" s="27">
        <v>0</v>
      </c>
      <c r="L10" s="27">
        <v>0</v>
      </c>
      <c r="M10" s="27">
        <v>0</v>
      </c>
      <c r="N10" s="27">
        <v>0</v>
      </c>
      <c r="O10" s="27">
        <v>0</v>
      </c>
      <c r="P10" s="27">
        <v>0</v>
      </c>
      <c r="Q10" s="27">
        <v>0</v>
      </c>
      <c r="R10" s="27">
        <v>0</v>
      </c>
      <c r="S10" s="27">
        <v>0</v>
      </c>
      <c r="T10" s="27">
        <v>0</v>
      </c>
      <c r="U10" s="27">
        <v>0</v>
      </c>
      <c r="V10" s="27">
        <v>0</v>
      </c>
      <c r="W10" s="27">
        <v>0</v>
      </c>
      <c r="X10" s="27">
        <v>0</v>
      </c>
      <c r="Y10" s="27">
        <v>0</v>
      </c>
      <c r="Z10" s="27">
        <v>0</v>
      </c>
      <c r="AA10" s="27">
        <v>0</v>
      </c>
      <c r="AB10" s="27">
        <v>0</v>
      </c>
      <c r="AC10" s="27">
        <v>0</v>
      </c>
      <c r="AD10" s="12">
        <f>SUM(Y10,T10,O10,J10,E10)</f>
        <v>0</v>
      </c>
    </row>
    <row r="11" spans="1:30" s="30" customFormat="1" ht="30.75" customHeight="1" x14ac:dyDescent="0.25">
      <c r="A11" s="117"/>
      <c r="B11" s="37" t="s">
        <v>112</v>
      </c>
      <c r="C11" s="35"/>
      <c r="D11" s="36"/>
      <c r="E11" s="27">
        <f>SUM(F11:I11)</f>
        <v>0</v>
      </c>
      <c r="F11" s="28">
        <v>0</v>
      </c>
      <c r="G11" s="28">
        <v>0</v>
      </c>
      <c r="H11" s="28">
        <v>0</v>
      </c>
      <c r="I11" s="28">
        <v>0</v>
      </c>
      <c r="J11" s="27">
        <v>0</v>
      </c>
      <c r="K11" s="27">
        <v>0</v>
      </c>
      <c r="L11" s="27">
        <v>0</v>
      </c>
      <c r="M11" s="27">
        <v>0</v>
      </c>
      <c r="N11" s="27">
        <v>0</v>
      </c>
      <c r="O11" s="27">
        <v>0</v>
      </c>
      <c r="P11" s="27">
        <v>0</v>
      </c>
      <c r="Q11" s="27">
        <v>0</v>
      </c>
      <c r="R11" s="27">
        <v>0</v>
      </c>
      <c r="S11" s="27">
        <v>0</v>
      </c>
      <c r="T11" s="27">
        <v>0</v>
      </c>
      <c r="U11" s="27">
        <v>0</v>
      </c>
      <c r="V11" s="27">
        <v>0</v>
      </c>
      <c r="W11" s="27">
        <v>0</v>
      </c>
      <c r="X11" s="27">
        <v>0</v>
      </c>
      <c r="Y11" s="27">
        <v>0</v>
      </c>
      <c r="Z11" s="27">
        <v>0</v>
      </c>
      <c r="AA11" s="27">
        <v>0</v>
      </c>
      <c r="AB11" s="27">
        <v>0</v>
      </c>
      <c r="AC11" s="27">
        <v>0</v>
      </c>
      <c r="AD11" s="12">
        <f>SUM(Y11,T11,O11,J11,E11)</f>
        <v>0</v>
      </c>
    </row>
  </sheetData>
  <mergeCells count="1">
    <mergeCell ref="A8:A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gilimanova.en</cp:lastModifiedBy>
  <cp:lastPrinted>2025-07-03T06:19:39Z</cp:lastPrinted>
  <dcterms:created xsi:type="dcterms:W3CDTF">2013-07-24T10:56:02Z</dcterms:created>
  <dcterms:modified xsi:type="dcterms:W3CDTF">2025-07-11T05:10:53Z</dcterms:modified>
</cp:coreProperties>
</file>